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varo\Downloads\"/>
    </mc:Choice>
  </mc:AlternateContent>
  <xr:revisionPtr revIDLastSave="0" documentId="13_ncr:1_{5158D2ED-CEBA-4A1E-900F-0BC5ECD96633}" xr6:coauthVersionLast="45" xr6:coauthVersionMax="45" xr10:uidLastSave="{00000000-0000-0000-0000-000000000000}"/>
  <bookViews>
    <workbookView xWindow="-110" yWindow="-110" windowWidth="19420" windowHeight="10420" activeTab="2" xr2:uid="{870D524E-AE51-454D-A0D8-A02156F4DEAD}"/>
  </bookViews>
  <sheets>
    <sheet name="Instrucciones" sheetId="2" r:id="rId1"/>
    <sheet name="Variables Entrada" sheetId="4" r:id="rId2"/>
    <sheet name="Modelo FCFF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D13" i="3"/>
  <c r="E6" i="3" l="1"/>
  <c r="F6" i="3"/>
  <c r="G6" i="3"/>
  <c r="H6" i="3"/>
  <c r="I6" i="3"/>
  <c r="J6" i="3"/>
  <c r="K6" i="3"/>
  <c r="L6" i="3"/>
  <c r="M6" i="3"/>
  <c r="N6" i="3"/>
  <c r="O6" i="3"/>
  <c r="P6" i="3"/>
  <c r="Q6" i="3"/>
  <c r="R6" i="3"/>
  <c r="D6" i="3"/>
  <c r="D9" i="3" l="1"/>
  <c r="C13" i="3"/>
  <c r="B34" i="4" l="1"/>
  <c r="E9" i="3"/>
  <c r="D11" i="3"/>
  <c r="E4" i="3"/>
  <c r="F4" i="3" l="1"/>
  <c r="M3" i="3"/>
  <c r="G4" i="3" l="1"/>
  <c r="H4" i="3" l="1"/>
  <c r="I4" i="3" l="1"/>
  <c r="J4" i="3" l="1"/>
  <c r="K4" i="3" l="1"/>
  <c r="M4" i="3" l="1"/>
  <c r="L4" i="3"/>
  <c r="F9" i="3" l="1"/>
  <c r="D10" i="3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G9" i="3" l="1"/>
  <c r="H9" i="3"/>
  <c r="I9" i="3" l="1"/>
  <c r="J9" i="3" l="1"/>
  <c r="K9" i="3" l="1"/>
  <c r="L9" i="3" l="1"/>
  <c r="M9" i="3" l="1"/>
  <c r="N9" i="3" l="1"/>
  <c r="O9" i="3" l="1"/>
  <c r="P9" i="3" l="1"/>
  <c r="Q9" i="3" l="1"/>
  <c r="R9" i="3" l="1"/>
  <c r="C1" i="3" l="1"/>
  <c r="C24" i="3" l="1"/>
  <c r="C11" i="3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C17" i="3" l="1"/>
  <c r="C3" i="3" l="1"/>
  <c r="C18" i="3" s="1"/>
  <c r="D4" i="3" l="1"/>
  <c r="C7" i="3"/>
  <c r="C5" i="3" l="1"/>
  <c r="B33" i="4"/>
  <c r="B28" i="4" l="1"/>
  <c r="C23" i="3"/>
  <c r="B27" i="4" l="1"/>
  <c r="B30" i="4" s="1"/>
  <c r="B29" i="4"/>
  <c r="C8" i="3"/>
  <c r="D8" i="3" s="1"/>
  <c r="E8" i="3" s="1"/>
  <c r="F8" i="3" s="1"/>
  <c r="G8" i="3" s="1"/>
  <c r="H8" i="3" s="1"/>
  <c r="I8" i="3" s="1"/>
  <c r="J8" i="3" s="1"/>
  <c r="K8" i="3" s="1"/>
  <c r="L8" i="3" s="1"/>
  <c r="M8" i="3" s="1"/>
  <c r="B31" i="4" l="1"/>
  <c r="D5" i="3"/>
  <c r="E5" i="3" l="1"/>
  <c r="B23" i="3"/>
  <c r="B24" i="3"/>
  <c r="F5" i="3" l="1"/>
  <c r="D1" i="3"/>
  <c r="G5" i="3" l="1"/>
  <c r="E1" i="3"/>
  <c r="F1" i="3" l="1"/>
  <c r="H5" i="3"/>
  <c r="E2" i="3"/>
  <c r="D2" i="3"/>
  <c r="F2" i="3" l="1"/>
  <c r="G1" i="3"/>
  <c r="I5" i="3"/>
  <c r="I7" i="3" s="1"/>
  <c r="E7" i="3"/>
  <c r="F7" i="3"/>
  <c r="G7" i="3"/>
  <c r="H7" i="3"/>
  <c r="P4" i="3"/>
  <c r="Q4" i="3"/>
  <c r="R4" i="3"/>
  <c r="N4" i="3"/>
  <c r="O4" i="3"/>
  <c r="H1" i="3" l="1"/>
  <c r="G2" i="3"/>
  <c r="J5" i="3"/>
  <c r="J7" i="3" s="1"/>
  <c r="F53" i="3"/>
  <c r="H53" i="3"/>
  <c r="I53" i="3"/>
  <c r="E53" i="3"/>
  <c r="G53" i="3"/>
  <c r="I1" i="3" l="1"/>
  <c r="H2" i="3"/>
  <c r="K5" i="3"/>
  <c r="K7" i="3" s="1"/>
  <c r="J53" i="3"/>
  <c r="J1" i="3" l="1"/>
  <c r="I2" i="3"/>
  <c r="K53" i="3"/>
  <c r="L5" i="3"/>
  <c r="L7" i="3" s="1"/>
  <c r="K1" i="3" l="1"/>
  <c r="J2" i="3"/>
  <c r="L53" i="3"/>
  <c r="N8" i="3"/>
  <c r="M5" i="3"/>
  <c r="M7" i="3" s="1"/>
  <c r="C12" i="3"/>
  <c r="E12" i="3"/>
  <c r="B26" i="4" l="1"/>
  <c r="B32" i="4"/>
  <c r="C16" i="3"/>
  <c r="C14" i="3"/>
  <c r="E14" i="3"/>
  <c r="L1" i="3"/>
  <c r="K2" i="3"/>
  <c r="O8" i="3"/>
  <c r="N5" i="3"/>
  <c r="N7" i="3" s="1"/>
  <c r="F12" i="3"/>
  <c r="F14" i="3" l="1"/>
  <c r="M1" i="3"/>
  <c r="L2" i="3"/>
  <c r="P8" i="3"/>
  <c r="O5" i="3"/>
  <c r="O7" i="3" s="1"/>
  <c r="G12" i="3"/>
  <c r="G14" i="3" l="1"/>
  <c r="N1" i="3"/>
  <c r="M2" i="3"/>
  <c r="E15" i="3"/>
  <c r="Q8" i="3"/>
  <c r="P5" i="3"/>
  <c r="P7" i="3" s="1"/>
  <c r="H12" i="3"/>
  <c r="H14" i="3" l="1"/>
  <c r="O1" i="3"/>
  <c r="N2" i="3"/>
  <c r="F15" i="3"/>
  <c r="R8" i="3"/>
  <c r="R5" i="3" s="1"/>
  <c r="R7" i="3" s="1"/>
  <c r="Q5" i="3"/>
  <c r="Q7" i="3" s="1"/>
  <c r="I12" i="3"/>
  <c r="I14" i="3" l="1"/>
  <c r="P1" i="3"/>
  <c r="O2" i="3"/>
  <c r="G15" i="3"/>
  <c r="J12" i="3"/>
  <c r="J14" i="3" l="1"/>
  <c r="Q1" i="3"/>
  <c r="P2" i="3"/>
  <c r="H15" i="3"/>
  <c r="K12" i="3"/>
  <c r="K14" i="3" l="1"/>
  <c r="R1" i="3"/>
  <c r="Q2" i="3"/>
  <c r="I15" i="3"/>
  <c r="M12" i="3"/>
  <c r="L12" i="3"/>
  <c r="L14" i="3" l="1"/>
  <c r="M14" i="3"/>
  <c r="R2" i="3"/>
  <c r="J15" i="3"/>
  <c r="N12" i="3"/>
  <c r="C21" i="3" l="1"/>
  <c r="N14" i="3"/>
  <c r="K15" i="3"/>
  <c r="O12" i="3"/>
  <c r="O14" i="3" l="1"/>
  <c r="L15" i="3"/>
  <c r="P12" i="3"/>
  <c r="P14" i="3" l="1"/>
  <c r="Q12" i="3"/>
  <c r="Q14" i="3" l="1"/>
  <c r="M15" i="3"/>
  <c r="R12" i="3"/>
  <c r="R14" i="3" l="1"/>
  <c r="D7" i="3"/>
  <c r="D53" i="3" l="1"/>
  <c r="D12" i="3"/>
  <c r="D14" i="3" l="1"/>
  <c r="Q15" i="3" l="1"/>
  <c r="O15" i="3"/>
  <c r="N15" i="3"/>
  <c r="R15" i="3"/>
  <c r="P15" i="3"/>
  <c r="D15" i="3"/>
  <c r="C20" i="3" s="1"/>
  <c r="C22" i="3" s="1"/>
  <c r="C25" i="3" s="1"/>
  <c r="C26" i="3" s="1"/>
  <c r="D17" i="3"/>
  <c r="D18" i="3" s="1"/>
  <c r="E17" i="3" l="1"/>
  <c r="D16" i="3"/>
  <c r="E16" i="3" l="1"/>
  <c r="E18" i="3"/>
  <c r="F17" i="3"/>
  <c r="F16" i="3" l="1"/>
  <c r="F18" i="3"/>
  <c r="G17" i="3"/>
  <c r="G16" i="3" l="1"/>
  <c r="G18" i="3"/>
  <c r="H17" i="3"/>
  <c r="H16" i="3" l="1"/>
  <c r="H18" i="3"/>
  <c r="I17" i="3"/>
  <c r="I16" i="3" l="1"/>
  <c r="I18" i="3"/>
  <c r="J17" i="3"/>
  <c r="J16" i="3" l="1"/>
  <c r="J18" i="3"/>
  <c r="K17" i="3"/>
  <c r="K16" i="3" l="1"/>
  <c r="K18" i="3"/>
  <c r="L17" i="3"/>
  <c r="L16" i="3" l="1"/>
  <c r="L18" i="3"/>
  <c r="M17" i="3"/>
  <c r="M16" i="3" l="1"/>
  <c r="M18" i="3"/>
  <c r="N17" i="3"/>
  <c r="N16" i="3" l="1"/>
  <c r="N18" i="3"/>
  <c r="O17" i="3"/>
  <c r="O16" i="3" l="1"/>
  <c r="O18" i="3"/>
  <c r="P17" i="3"/>
  <c r="Q17" i="3" s="1"/>
  <c r="Q16" i="3" l="1"/>
  <c r="Q18" i="3"/>
  <c r="P16" i="3"/>
  <c r="P18" i="3"/>
  <c r="R17" i="3"/>
  <c r="R16" i="3" l="1"/>
  <c r="R18" i="3"/>
</calcChain>
</file>

<file path=xl/sharedStrings.xml><?xml version="1.0" encoding="utf-8"?>
<sst xmlns="http://schemas.openxmlformats.org/spreadsheetml/2006/main" count="94" uniqueCount="90">
  <si>
    <t>Crecimiento anual</t>
  </si>
  <si>
    <t>Ingresos</t>
  </si>
  <si>
    <t>Margen operativo</t>
  </si>
  <si>
    <t>Beneficio Operativo (EBIT)</t>
  </si>
  <si>
    <t>Gastos operativos totales</t>
  </si>
  <si>
    <t xml:space="preserve">Porcentaje impuestos </t>
  </si>
  <si>
    <t>CoE</t>
  </si>
  <si>
    <t>EBIT(1-t)</t>
  </si>
  <si>
    <t>Risk free rate</t>
  </si>
  <si>
    <t>Tax rate</t>
  </si>
  <si>
    <t>Interés sobre la deuda</t>
  </si>
  <si>
    <t>Tasa crecimiento perpetuidad</t>
  </si>
  <si>
    <t>Número de acciones (M)</t>
  </si>
  <si>
    <t>Año final valoración</t>
  </si>
  <si>
    <t>Valor equity</t>
  </si>
  <si>
    <t>Precio/acción</t>
  </si>
  <si>
    <t>FCFF</t>
  </si>
  <si>
    <t>Valor presente FCFF</t>
  </si>
  <si>
    <t>WACC</t>
  </si>
  <si>
    <t>Valor de la Empresa</t>
  </si>
  <si>
    <t>Valor Presente FCFF</t>
  </si>
  <si>
    <t>Deuda/(Deuda+Equity)</t>
  </si>
  <si>
    <t>Beta levered</t>
  </si>
  <si>
    <t>Market cap</t>
  </si>
  <si>
    <t>Prima de riesgo país</t>
  </si>
  <si>
    <t>Beta (sin deuda)</t>
  </si>
  <si>
    <t>Capex (signo -, signo + indica desinversión)</t>
  </si>
  <si>
    <t>Depreciación (signo +)</t>
  </si>
  <si>
    <t>ROIC</t>
  </si>
  <si>
    <t>Capital invertido</t>
  </si>
  <si>
    <t>Deuda total (signo +)</t>
  </si>
  <si>
    <t>Precio cotización de la acción</t>
  </si>
  <si>
    <t>Capital circulante/Ventas</t>
  </si>
  <si>
    <t>Ventas actuales</t>
  </si>
  <si>
    <t>Y se divide entre el número de acciones…</t>
  </si>
  <si>
    <t>4-5% para EEUU o Alemania, 6-7% para otros países desarrolaldos, mayor en emergentes. Consultar web Damodaran</t>
  </si>
  <si>
    <t>El tipo impositivo al que tributa</t>
  </si>
  <si>
    <t>Se saca del annual report, o en base al rating de crédito. También se estima dividiendo el interés pagado entre la deuda total</t>
  </si>
  <si>
    <t>No puede ser mayor que el crecimiento de la economía. Este parámetro influye mucho en la valoración final</t>
  </si>
  <si>
    <t>Beneficio Operativo EBIT</t>
  </si>
  <si>
    <t>Puedes meter aquí el valor de Stock Options</t>
  </si>
  <si>
    <t>Probabilidad de fallo</t>
  </si>
  <si>
    <t>Valor en caso de fallo</t>
  </si>
  <si>
    <t>Si crees que la compañía puede quebrar o tener problemas, introduce un valor de 0-100%</t>
  </si>
  <si>
    <t>ROIC a perpetuidad</t>
  </si>
  <si>
    <t>Año actual (ultimos datos reportados)</t>
  </si>
  <si>
    <t>Compañía estable o alto crecimiento (E/G)</t>
  </si>
  <si>
    <t>Duración período alto crecimiento</t>
  </si>
  <si>
    <t>Introdúcelo y borra los datos de ventas posteriores a este año. El modelo permite hasta 15 años</t>
  </si>
  <si>
    <t>Puedes hacer 1 fase de alto crecimiento y otra de estabilización, o un único período simplemente. El valor terminal se asumirá estable, de bajo crecimiento</t>
  </si>
  <si>
    <t>Sales/Capital</t>
  </si>
  <si>
    <t>Reinversión actual/EBIT(1-T)</t>
  </si>
  <si>
    <t>E</t>
  </si>
  <si>
    <t>Se resta la deuda y se suma la caja neta…</t>
  </si>
  <si>
    <t>Se restan los intereses minoritarios si los hay…</t>
  </si>
  <si>
    <t>Se obtiene el valor del Equity</t>
  </si>
  <si>
    <t>¿Te parece razonable el coste de de equity?</t>
  </si>
  <si>
    <t>¿Te parece razonable el coste de capital? ¿Es menor que el ROIC actual? Si no es así ajústalo en el tiempo</t>
  </si>
  <si>
    <t>Reinversión =Capex-Depreciación+dWC</t>
  </si>
  <si>
    <t>Se asume el mismo margen que el actual. Mantenlo si es una empresa madura, o modifícalo para reflejar su mejoría</t>
  </si>
  <si>
    <t>Se asume el mismo tipo impositivo para todos los años. Puedes modificarlo aunque lo usual es asumirlo constante</t>
  </si>
  <si>
    <t>Este es el FCFF en cada año, resultado de restar la reinversión al beneficio operativo después de impuestos</t>
  </si>
  <si>
    <t>Aquí se descuenta a valor presente el FCFF</t>
  </si>
  <si>
    <t>Valor Terminal Presente</t>
  </si>
  <si>
    <t>Instrucciones</t>
  </si>
  <si>
    <t>Capital circulante (+ o -)</t>
  </si>
  <si>
    <t>Patrimonio Neto (Book value)</t>
  </si>
  <si>
    <t>Interés minoritario</t>
  </si>
  <si>
    <t>Caja Actual</t>
  </si>
  <si>
    <t>Estima el coste de capital a perpetuidad. Debería ser similar a empresas de la industria. Compáralo con la fila de abajo para ver qué tal lejos está</t>
  </si>
  <si>
    <t>Este es tu ROIC actual. ¿Tiene sentido? Si es una compañía en pérdidas o de fuerte crecimiento, puedes ignorarlo.</t>
  </si>
  <si>
    <t>Da una idea del nivel de reinversión (desinversión si negativo) de la empresa. Deberías compararlo con años anteriores</t>
  </si>
  <si>
    <t>(corto plazo + largo plazo)</t>
  </si>
  <si>
    <t>Ventas actuales y del año anterior</t>
  </si>
  <si>
    <t>Idem EBIT</t>
  </si>
  <si>
    <t>Capital circulante actual y año anterior</t>
  </si>
  <si>
    <t>Estima el valor residual que podría tener en caso de quiebra o crisis severa, de 0-100%</t>
  </si>
  <si>
    <t>Esta es la beta que se usa para el cálculo del coste de capital</t>
  </si>
  <si>
    <t>Toca solo las celdas en amarillo!</t>
  </si>
  <si>
    <t>Si estás en fase estable, el ROIC determina la reinversión. Modifícalo al nivel que consideres. Ha de ser un valor razonable y en linea con su industria</t>
  </si>
  <si>
    <t>Fase (Estable/Growth)</t>
  </si>
  <si>
    <t>Si estás en fase de alto crecimiento, este ratio determina la reinversión. Modifícalo al nivel que consideres. Cuanto más alto, más eficiente será la empresa, menor reinversión necesitará, y mayor valoración tendrá. Busca un múltiplo realista mirando empresas comparables</t>
  </si>
  <si>
    <t>El modelo estima la reinversión necesaria, pero puedes modificarla a tu gusto. Debe tener signo "-". Signo "+" indica desinversión (solo en fase de crecimiento negativo, como es el caso de Enagas)</t>
  </si>
  <si>
    <t>Estima los ingresos durante los próximos X años. Termina en el año que indicaste como final en la celda B2 de la pestaña anterior</t>
  </si>
  <si>
    <t>Empieza rellenando la pestaña "Variables de Entrada". Solo las celdas en AMARILLO
Necesitarás la beta, la prima de riesgo, nivel de deuda y otros datos sencillos de obtener. Lee los comentarios de cada fila en la columna B como ayuda</t>
  </si>
  <si>
    <t>Ve al la pestaña modelo y sigue las instrucciones de la columna A. Únicamente deberás rellenar los ingresos futuros y el margen operativo. El resto de parámetros se calculan solos, aunque puedes modificarlos. Al final, tendrás un precio para la acción.
Lee los comentarios de la columna A como ayuda</t>
  </si>
  <si>
    <t>Prueba a cambiar algunos parámetros para ver la sensibilidad del modelo.
Mira por ejemplo la importancia que tienen beta o la prima de riesgo, que afectan a la tasa de descuento.
También el ROIC y el valor de crecimiento a perpetuidad que supongas
Al final, la valoración no es un resultado exacto sino un rango de valores en función de los distintos escenarios y sus probabilidades</t>
  </si>
  <si>
    <t>El bono a 10 años de la moneda en que estemos trabajando. Consultar web Damodaran</t>
  </si>
  <si>
    <t>La beta del sector, o la media ponderada si nuestra empresa opera en varios sectores. Consultar web Damodaran</t>
  </si>
  <si>
    <t>Estos son los valores calculados en función de los datos: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</si>
</sst>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_(* #,##0.0_);_(* \(#,##0.0\)_)\ ;_(* 0_)"/>
    <numFmt numFmtId="166" formatCode="mmm\-dd\-yyyy"/>
    <numFmt numFmtId="167" formatCode="_(* #,##0.00_);_(* \(#,##0.00\)_)\ ;_(* 0.0_)"/>
    <numFmt numFmtId="168" formatCode="_-* #,##0_-;\-* #,##0_-;_-* &quot;-&quot;??_-;_-@_-"/>
    <numFmt numFmtId="169" formatCode="0.000"/>
    <numFmt numFmtId="170" formatCode="_-* #,##0.00\ _€_-;\-* #,##0.00\ _€_-;_-* &quot;-&quot;??\ _€_-;_-@_-"/>
    <numFmt numFmtId="171" formatCode="_-* #,##0.0000_-;\-* #,##0.0000_-;_-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sz val="1"/>
      <color indexed="9"/>
      <name val="Symbol"/>
      <family val="1"/>
      <charset val="2"/>
    </font>
    <font>
      <sz val="8"/>
      <color indexed="8"/>
      <name val="Arial"/>
      <family val="2"/>
    </font>
    <font>
      <b/>
      <u val="double"/>
      <sz val="8"/>
      <color indexed="8"/>
      <name val="Arial"/>
      <family val="2"/>
    </font>
    <font>
      <sz val="10"/>
      <name val="Arial"/>
      <family val="2"/>
    </font>
    <font>
      <b/>
      <sz val="8"/>
      <color theme="4" tint="-0.499984740745262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"/>
      <family val="2"/>
    </font>
    <font>
      <sz val="10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Alignment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4" fillId="2" borderId="0" xfId="0" applyFont="1" applyFill="1"/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right" vertical="top" wrapText="1"/>
    </xf>
    <xf numFmtId="2" fontId="3" fillId="3" borderId="0" xfId="0" applyNumberFormat="1" applyFont="1" applyFill="1"/>
    <xf numFmtId="2" fontId="3" fillId="0" borderId="0" xfId="0" applyNumberFormat="1" applyFont="1"/>
    <xf numFmtId="0" fontId="6" fillId="4" borderId="0" xfId="0" applyFont="1" applyFill="1" applyAlignment="1">
      <alignment horizontal="right" vertical="top"/>
    </xf>
    <xf numFmtId="9" fontId="3" fillId="0" borderId="0" xfId="1" applyFont="1"/>
    <xf numFmtId="10" fontId="3" fillId="0" borderId="0" xfId="1" applyNumberFormat="1" applyFont="1"/>
    <xf numFmtId="0" fontId="2" fillId="5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horizontal="right" vertical="top" wrapText="1"/>
    </xf>
    <xf numFmtId="10" fontId="6" fillId="4" borderId="0" xfId="1" applyNumberFormat="1" applyFont="1" applyFill="1" applyAlignment="1">
      <alignment horizontal="right" vertical="top"/>
    </xf>
    <xf numFmtId="167" fontId="6" fillId="0" borderId="0" xfId="0" applyNumberFormat="1" applyFont="1" applyFill="1" applyAlignment="1">
      <alignment horizontal="left" vertical="top"/>
    </xf>
    <xf numFmtId="167" fontId="6" fillId="0" borderId="0" xfId="0" applyNumberFormat="1" applyFont="1" applyFill="1" applyAlignment="1">
      <alignment horizontal="right" vertical="top" wrapText="1"/>
    </xf>
    <xf numFmtId="0" fontId="3" fillId="0" borderId="0" xfId="0" applyFont="1" applyFill="1"/>
    <xf numFmtId="2" fontId="2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/>
    </xf>
    <xf numFmtId="167" fontId="6" fillId="0" borderId="0" xfId="0" applyNumberFormat="1" applyFont="1" applyFill="1" applyBorder="1" applyAlignment="1">
      <alignment horizontal="right" vertical="top" wrapText="1"/>
    </xf>
    <xf numFmtId="167" fontId="2" fillId="0" borderId="0" xfId="0" applyNumberFormat="1" applyFont="1" applyFill="1" applyBorder="1" applyAlignment="1">
      <alignment horizontal="right" vertical="top" wrapText="1"/>
    </xf>
    <xf numFmtId="167" fontId="6" fillId="0" borderId="0" xfId="0" applyNumberFormat="1" applyFont="1" applyFill="1" applyBorder="1" applyAlignment="1">
      <alignment horizontal="left" vertical="top"/>
    </xf>
    <xf numFmtId="167" fontId="3" fillId="0" borderId="0" xfId="0" applyNumberFormat="1" applyFont="1" applyFill="1"/>
    <xf numFmtId="167" fontId="4" fillId="0" borderId="0" xfId="0" applyNumberFormat="1" applyFont="1" applyFill="1"/>
    <xf numFmtId="167" fontId="2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4" fontId="6" fillId="0" borderId="0" xfId="1" applyNumberFormat="1" applyFont="1" applyFill="1" applyAlignment="1">
      <alignment horizontal="left" vertical="top"/>
    </xf>
    <xf numFmtId="165" fontId="7" fillId="0" borderId="0" xfId="0" applyNumberFormat="1" applyFont="1" applyFill="1" applyBorder="1" applyAlignment="1">
      <alignment horizontal="right" vertical="top" wrapText="1"/>
    </xf>
    <xf numFmtId="10" fontId="6" fillId="0" borderId="0" xfId="1" applyNumberFormat="1" applyFont="1" applyFill="1" applyAlignment="1">
      <alignment horizontal="left" vertical="top"/>
    </xf>
    <xf numFmtId="166" fontId="6" fillId="0" borderId="0" xfId="0" applyNumberFormat="1" applyFont="1" applyFill="1" applyAlignment="1">
      <alignment horizontal="right" vertical="top" wrapText="1"/>
    </xf>
    <xf numFmtId="49" fontId="6" fillId="0" borderId="0" xfId="0" applyNumberFormat="1" applyFont="1" applyFill="1" applyAlignment="1">
      <alignment horizontal="right" vertical="top" wrapText="1"/>
    </xf>
    <xf numFmtId="2" fontId="3" fillId="0" borderId="0" xfId="0" applyNumberFormat="1" applyFont="1" applyFill="1"/>
    <xf numFmtId="10" fontId="3" fillId="0" borderId="0" xfId="1" applyNumberFormat="1" applyFont="1" applyFill="1"/>
    <xf numFmtId="10" fontId="6" fillId="3" borderId="0" xfId="1" applyNumberFormat="1" applyFont="1" applyFill="1" applyAlignment="1">
      <alignment horizontal="right" vertical="top"/>
    </xf>
    <xf numFmtId="0" fontId="9" fillId="2" borderId="0" xfId="0" applyFont="1" applyFill="1"/>
    <xf numFmtId="0" fontId="10" fillId="0" borderId="1" xfId="0" applyFont="1" applyFill="1" applyBorder="1"/>
    <xf numFmtId="2" fontId="10" fillId="0" borderId="2" xfId="0" applyNumberFormat="1" applyFont="1" applyFill="1" applyBorder="1"/>
    <xf numFmtId="0" fontId="10" fillId="0" borderId="3" xfId="0" applyFont="1" applyFill="1" applyBorder="1"/>
    <xf numFmtId="2" fontId="10" fillId="0" borderId="4" xfId="0" applyNumberFormat="1" applyFont="1" applyFill="1" applyBorder="1"/>
    <xf numFmtId="2" fontId="10" fillId="0" borderId="0" xfId="0" applyNumberFormat="1" applyFont="1"/>
    <xf numFmtId="0" fontId="10" fillId="0" borderId="3" xfId="0" applyFont="1" applyFill="1" applyBorder="1" applyAlignment="1">
      <alignment horizontal="right"/>
    </xf>
    <xf numFmtId="9" fontId="3" fillId="0" borderId="0" xfId="1" applyNumberFormat="1" applyFont="1"/>
    <xf numFmtId="164" fontId="3" fillId="0" borderId="0" xfId="0" applyNumberFormat="1" applyFont="1" applyFill="1"/>
    <xf numFmtId="169" fontId="3" fillId="3" borderId="0" xfId="3" applyNumberFormat="1" applyFont="1" applyFill="1"/>
    <xf numFmtId="168" fontId="3" fillId="0" borderId="0" xfId="3" applyNumberFormat="1" applyFont="1" applyFill="1"/>
    <xf numFmtId="0" fontId="8" fillId="0" borderId="6" xfId="0" applyFont="1" applyBorder="1"/>
    <xf numFmtId="10" fontId="0" fillId="3" borderId="6" xfId="0" applyNumberFormat="1" applyFill="1" applyBorder="1"/>
    <xf numFmtId="0" fontId="1" fillId="0" borderId="6" xfId="0" applyFont="1" applyBorder="1"/>
    <xf numFmtId="9" fontId="0" fillId="3" borderId="6" xfId="0" applyNumberFormat="1" applyFill="1" applyBorder="1"/>
    <xf numFmtId="0" fontId="0" fillId="3" borderId="6" xfId="0" applyFill="1" applyBorder="1"/>
    <xf numFmtId="164" fontId="0" fillId="3" borderId="6" xfId="0" applyNumberFormat="1" applyFill="1" applyBorder="1"/>
    <xf numFmtId="168" fontId="0" fillId="3" borderId="6" xfId="3" applyNumberFormat="1" applyFont="1" applyFill="1" applyBorder="1"/>
    <xf numFmtId="0" fontId="1" fillId="0" borderId="6" xfId="0" applyFont="1" applyBorder="1" applyAlignment="1">
      <alignment horizontal="left"/>
    </xf>
    <xf numFmtId="0" fontId="1" fillId="3" borderId="6" xfId="0" applyFont="1" applyFill="1" applyBorder="1"/>
    <xf numFmtId="169" fontId="0" fillId="0" borderId="6" xfId="0" applyNumberFormat="1" applyBorder="1"/>
    <xf numFmtId="0" fontId="0" fillId="0" borderId="6" xfId="0" applyBorder="1"/>
    <xf numFmtId="164" fontId="0" fillId="0" borderId="6" xfId="1" applyNumberFormat="1" applyFont="1" applyFill="1" applyBorder="1"/>
    <xf numFmtId="10" fontId="0" fillId="0" borderId="6" xfId="1" applyNumberFormat="1" applyFont="1" applyFill="1" applyBorder="1"/>
    <xf numFmtId="0" fontId="0" fillId="0" borderId="0" xfId="0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1" fillId="0" borderId="0" xfId="0" applyFont="1"/>
    <xf numFmtId="0" fontId="1" fillId="0" borderId="7" xfId="0" applyFont="1" applyFill="1" applyBorder="1"/>
    <xf numFmtId="43" fontId="0" fillId="3" borderId="6" xfId="3" applyFont="1" applyFill="1" applyBorder="1"/>
    <xf numFmtId="164" fontId="0" fillId="0" borderId="6" xfId="0" applyNumberFormat="1" applyFill="1" applyBorder="1"/>
    <xf numFmtId="9" fontId="1" fillId="3" borderId="6" xfId="0" applyNumberFormat="1" applyFont="1" applyFill="1" applyBorder="1"/>
    <xf numFmtId="0" fontId="1" fillId="0" borderId="0" xfId="0" applyFont="1"/>
    <xf numFmtId="0" fontId="1" fillId="0" borderId="6" xfId="0" applyFont="1" applyFill="1" applyBorder="1"/>
    <xf numFmtId="170" fontId="0" fillId="0" borderId="6" xfId="0" applyNumberFormat="1" applyBorder="1"/>
    <xf numFmtId="9" fontId="0" fillId="0" borderId="6" xfId="1" applyFont="1" applyBorder="1"/>
    <xf numFmtId="2" fontId="10" fillId="0" borderId="8" xfId="0" applyNumberFormat="1" applyFont="1" applyFill="1" applyBorder="1"/>
    <xf numFmtId="2" fontId="10" fillId="0" borderId="9" xfId="0" applyNumberFormat="1" applyFont="1" applyFill="1" applyBorder="1"/>
    <xf numFmtId="0" fontId="10" fillId="0" borderId="8" xfId="0" applyFont="1" applyFill="1" applyBorder="1"/>
    <xf numFmtId="2" fontId="10" fillId="0" borderId="10" xfId="0" applyNumberFormat="1" applyFont="1" applyFill="1" applyBorder="1"/>
    <xf numFmtId="167" fontId="2" fillId="0" borderId="5" xfId="0" applyNumberFormat="1" applyFont="1" applyFill="1" applyBorder="1" applyAlignment="1">
      <alignment horizontal="right" vertical="top"/>
    </xf>
    <xf numFmtId="43" fontId="3" fillId="0" borderId="0" xfId="3" applyNumberFormat="1" applyFont="1" applyFill="1"/>
    <xf numFmtId="0" fontId="3" fillId="0" borderId="0" xfId="0" applyFont="1" applyFill="1" applyAlignment="1">
      <alignment horizontal="right"/>
    </xf>
    <xf numFmtId="170" fontId="3" fillId="0" borderId="0" xfId="0" applyNumberFormat="1" applyFont="1" applyFill="1"/>
    <xf numFmtId="171" fontId="3" fillId="0" borderId="0" xfId="3" applyNumberFormat="1" applyFont="1" applyFill="1"/>
    <xf numFmtId="10" fontId="3" fillId="3" borderId="0" xfId="3" applyNumberFormat="1" applyFont="1" applyFill="1"/>
    <xf numFmtId="0" fontId="12" fillId="0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0" fillId="0" borderId="0" xfId="0" applyFill="1"/>
    <xf numFmtId="2" fontId="2" fillId="0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6" fillId="4" borderId="0" xfId="0" applyFont="1" applyFill="1" applyBorder="1" applyAlignment="1">
      <alignment horizontal="right" vertical="top"/>
    </xf>
    <xf numFmtId="10" fontId="6" fillId="4" borderId="0" xfId="1" applyNumberFormat="1" applyFont="1" applyFill="1" applyBorder="1" applyAlignment="1">
      <alignment horizontal="right" vertical="top"/>
    </xf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168" fontId="0" fillId="0" borderId="0" xfId="3" applyNumberFormat="1" applyFont="1" applyFill="1" applyBorder="1"/>
    <xf numFmtId="170" fontId="0" fillId="0" borderId="0" xfId="0" applyNumberFormat="1" applyFill="1" applyBorder="1"/>
    <xf numFmtId="9" fontId="3" fillId="0" borderId="0" xfId="1" applyNumberFormat="1" applyFont="1" applyFill="1"/>
    <xf numFmtId="2" fontId="0" fillId="3" borderId="6" xfId="0" applyNumberFormat="1" applyFill="1" applyBorder="1"/>
    <xf numFmtId="9" fontId="1" fillId="0" borderId="0" xfId="1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/>
    <xf numFmtId="169" fontId="11" fillId="0" borderId="0" xfId="0" applyNumberFormat="1" applyFont="1" applyFill="1" applyBorder="1"/>
    <xf numFmtId="0" fontId="14" fillId="0" borderId="0" xfId="0" applyFont="1"/>
    <xf numFmtId="0" fontId="6" fillId="0" borderId="0" xfId="0" applyFont="1" applyAlignment="1">
      <alignment horizontal="right" vertical="top"/>
    </xf>
    <xf numFmtId="2" fontId="3" fillId="0" borderId="0" xfId="0" applyNumberFormat="1" applyFont="1" applyAlignment="1">
      <alignment horizontal="center"/>
    </xf>
    <xf numFmtId="164" fontId="3" fillId="0" borderId="0" xfId="1" applyNumberFormat="1" applyFont="1" applyFill="1"/>
    <xf numFmtId="167" fontId="2" fillId="6" borderId="11" xfId="0" applyNumberFormat="1" applyFont="1" applyFill="1" applyBorder="1" applyAlignment="1">
      <alignment horizontal="left" vertical="top"/>
    </xf>
    <xf numFmtId="164" fontId="0" fillId="7" borderId="6" xfId="0" applyNumberFormat="1" applyFill="1" applyBorder="1"/>
    <xf numFmtId="0" fontId="15" fillId="7" borderId="6" xfId="0" applyFont="1" applyFill="1" applyBorder="1"/>
  </cellXfs>
  <cellStyles count="4">
    <cellStyle name="Invisible" xfId="2" xr:uid="{7EC55496-D15F-47BB-9CCD-3945F7AB2B4F}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436F-39B6-4544-AE6D-1C4E46766C88}">
  <dimension ref="A2:C6"/>
  <sheetViews>
    <sheetView workbookViewId="0">
      <selection activeCell="B7" sqref="B7"/>
    </sheetView>
  </sheetViews>
  <sheetFormatPr baseColWidth="10" defaultRowHeight="12.5" x14ac:dyDescent="0.25"/>
  <cols>
    <col min="2" max="2" width="89.54296875" customWidth="1"/>
  </cols>
  <sheetData>
    <row r="2" spans="1:3" ht="39" customHeight="1" x14ac:dyDescent="0.25">
      <c r="A2" s="57">
        <v>1</v>
      </c>
      <c r="B2" s="58" t="s">
        <v>84</v>
      </c>
      <c r="C2" s="84"/>
    </row>
    <row r="3" spans="1:3" x14ac:dyDescent="0.25">
      <c r="A3" s="57"/>
      <c r="B3" s="57"/>
    </row>
    <row r="4" spans="1:3" ht="53" customHeight="1" x14ac:dyDescent="0.25">
      <c r="A4" s="57">
        <v>2</v>
      </c>
      <c r="B4" s="59" t="s">
        <v>85</v>
      </c>
    </row>
    <row r="5" spans="1:3" x14ac:dyDescent="0.25">
      <c r="A5" s="57"/>
      <c r="B5" s="57"/>
    </row>
    <row r="6" spans="1:3" ht="65" customHeight="1" x14ac:dyDescent="0.25">
      <c r="A6" s="57">
        <v>3</v>
      </c>
      <c r="B6" s="60" t="s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0EA7-CF01-405C-A232-56CC20203625}">
  <dimension ref="A1:D43"/>
  <sheetViews>
    <sheetView workbookViewId="0">
      <selection activeCell="A30" sqref="A30"/>
    </sheetView>
  </sheetViews>
  <sheetFormatPr baseColWidth="10" defaultRowHeight="13" x14ac:dyDescent="0.3"/>
  <cols>
    <col min="1" max="1" width="39.6328125" bestFit="1" customWidth="1"/>
    <col min="2" max="2" width="9.1796875" bestFit="1" customWidth="1"/>
    <col min="3" max="3" width="9.1796875" style="84" customWidth="1"/>
    <col min="4" max="4" width="10.90625" style="61"/>
  </cols>
  <sheetData>
    <row r="1" spans="1:4" x14ac:dyDescent="0.3">
      <c r="A1" s="66" t="s">
        <v>45</v>
      </c>
      <c r="B1" s="48">
        <v>2018</v>
      </c>
      <c r="C1" s="91"/>
    </row>
    <row r="2" spans="1:4" x14ac:dyDescent="0.3">
      <c r="A2" s="44" t="s">
        <v>13</v>
      </c>
      <c r="B2" s="48">
        <v>2027</v>
      </c>
      <c r="C2" s="61" t="s">
        <v>48</v>
      </c>
    </row>
    <row r="3" spans="1:4" x14ac:dyDescent="0.3">
      <c r="A3" s="46" t="s">
        <v>46</v>
      </c>
      <c r="B3" s="52" t="s">
        <v>52</v>
      </c>
      <c r="C3" s="61"/>
    </row>
    <row r="4" spans="1:4" x14ac:dyDescent="0.3">
      <c r="A4" s="46" t="s">
        <v>47</v>
      </c>
      <c r="B4" s="52">
        <v>0</v>
      </c>
      <c r="C4" s="61" t="s">
        <v>49</v>
      </c>
    </row>
    <row r="5" spans="1:4" ht="12.5" customHeight="1" x14ac:dyDescent="0.3">
      <c r="A5" s="44" t="s">
        <v>8</v>
      </c>
      <c r="B5" s="45">
        <v>-3.0000000000000001E-3</v>
      </c>
      <c r="C5" s="61" t="s">
        <v>87</v>
      </c>
    </row>
    <row r="6" spans="1:4" x14ac:dyDescent="0.3">
      <c r="A6" s="46" t="s">
        <v>24</v>
      </c>
      <c r="B6" s="47">
        <v>6.7699999999999996E-2</v>
      </c>
      <c r="C6" s="61" t="s">
        <v>35</v>
      </c>
    </row>
    <row r="7" spans="1:4" x14ac:dyDescent="0.3">
      <c r="A7" s="46" t="s">
        <v>25</v>
      </c>
      <c r="B7" s="48">
        <v>0.66</v>
      </c>
      <c r="C7" s="61" t="s">
        <v>88</v>
      </c>
    </row>
    <row r="8" spans="1:4" x14ac:dyDescent="0.3">
      <c r="A8" s="44" t="s">
        <v>9</v>
      </c>
      <c r="B8" s="47">
        <v>0.25</v>
      </c>
      <c r="C8" s="61" t="s">
        <v>36</v>
      </c>
    </row>
    <row r="9" spans="1:4" x14ac:dyDescent="0.3">
      <c r="A9" s="62" t="s">
        <v>66</v>
      </c>
      <c r="B9" s="63">
        <v>3039</v>
      </c>
      <c r="C9" s="61"/>
    </row>
    <row r="10" spans="1:4" x14ac:dyDescent="0.3">
      <c r="A10" s="46" t="s">
        <v>67</v>
      </c>
      <c r="B10" s="48">
        <v>373</v>
      </c>
      <c r="C10" s="61" t="s">
        <v>40</v>
      </c>
    </row>
    <row r="11" spans="1:4" ht="12.5" customHeight="1" x14ac:dyDescent="0.3">
      <c r="A11" s="46" t="s">
        <v>30</v>
      </c>
      <c r="B11" s="48">
        <v>5466</v>
      </c>
      <c r="C11" s="97" t="s">
        <v>72</v>
      </c>
    </row>
    <row r="12" spans="1:4" x14ac:dyDescent="0.3">
      <c r="A12" s="44" t="s">
        <v>12</v>
      </c>
      <c r="B12" s="48">
        <v>238</v>
      </c>
      <c r="C12" s="91"/>
    </row>
    <row r="13" spans="1:4" x14ac:dyDescent="0.3">
      <c r="A13" s="46" t="s">
        <v>31</v>
      </c>
      <c r="B13" s="48">
        <v>24</v>
      </c>
      <c r="C13" s="91"/>
    </row>
    <row r="14" spans="1:4" x14ac:dyDescent="0.3">
      <c r="A14" s="62" t="s">
        <v>33</v>
      </c>
      <c r="B14" s="95">
        <v>1294</v>
      </c>
      <c r="C14" s="63">
        <v>1360</v>
      </c>
      <c r="D14" s="61" t="s">
        <v>73</v>
      </c>
    </row>
    <row r="15" spans="1:4" x14ac:dyDescent="0.3">
      <c r="A15" s="62" t="s">
        <v>39</v>
      </c>
      <c r="B15" s="48">
        <v>658.68</v>
      </c>
      <c r="C15" s="63">
        <v>694</v>
      </c>
      <c r="D15" s="61" t="s">
        <v>74</v>
      </c>
    </row>
    <row r="16" spans="1:4" x14ac:dyDescent="0.3">
      <c r="A16" s="44" t="s">
        <v>10</v>
      </c>
      <c r="B16" s="45">
        <v>2.5000000000000001E-2</v>
      </c>
      <c r="C16" s="61" t="s">
        <v>37</v>
      </c>
    </row>
    <row r="17" spans="1:4" x14ac:dyDescent="0.3">
      <c r="A17" s="44" t="s">
        <v>11</v>
      </c>
      <c r="B17" s="45">
        <v>7.4999999999999997E-3</v>
      </c>
      <c r="C17" s="61" t="s">
        <v>38</v>
      </c>
    </row>
    <row r="18" spans="1:4" ht="13" customHeight="1" x14ac:dyDescent="0.3">
      <c r="A18" s="46" t="s">
        <v>68</v>
      </c>
      <c r="B18" s="50">
        <v>1171</v>
      </c>
      <c r="C18" s="92"/>
    </row>
    <row r="19" spans="1:4" x14ac:dyDescent="0.3">
      <c r="A19" s="46" t="s">
        <v>26</v>
      </c>
      <c r="B19" s="48">
        <v>350</v>
      </c>
      <c r="C19" s="91"/>
    </row>
    <row r="20" spans="1:4" x14ac:dyDescent="0.3">
      <c r="A20" s="46" t="s">
        <v>27</v>
      </c>
      <c r="B20" s="48">
        <v>308</v>
      </c>
      <c r="C20" s="91"/>
    </row>
    <row r="21" spans="1:4" x14ac:dyDescent="0.3">
      <c r="A21" s="51" t="s">
        <v>65</v>
      </c>
      <c r="B21" s="52">
        <v>226</v>
      </c>
      <c r="C21" s="52">
        <v>290</v>
      </c>
      <c r="D21" s="61" t="s">
        <v>75</v>
      </c>
    </row>
    <row r="22" spans="1:4" x14ac:dyDescent="0.3">
      <c r="A22" s="51" t="s">
        <v>41</v>
      </c>
      <c r="B22" s="65">
        <v>0</v>
      </c>
      <c r="C22" s="61" t="s">
        <v>43</v>
      </c>
    </row>
    <row r="23" spans="1:4" x14ac:dyDescent="0.3">
      <c r="A23" s="51" t="s">
        <v>42</v>
      </c>
      <c r="B23" s="65">
        <v>0</v>
      </c>
      <c r="C23" s="61" t="s">
        <v>76</v>
      </c>
    </row>
    <row r="24" spans="1:4" ht="14" customHeight="1" x14ac:dyDescent="0.3">
      <c r="A24" s="46" t="s">
        <v>44</v>
      </c>
      <c r="B24" s="49">
        <v>6.7000000000000004E-2</v>
      </c>
      <c r="C24" s="98" t="s">
        <v>69</v>
      </c>
    </row>
    <row r="25" spans="1:4" ht="14" customHeight="1" x14ac:dyDescent="0.3">
      <c r="A25" s="106" t="s">
        <v>89</v>
      </c>
      <c r="B25" s="105"/>
      <c r="C25" s="98"/>
    </row>
    <row r="26" spans="1:4" ht="16.5" customHeight="1" x14ac:dyDescent="0.3">
      <c r="A26" s="46" t="s">
        <v>28</v>
      </c>
      <c r="B26" s="64">
        <f>+'Modelo FCFF'!C12/('Variables Entrada'!B9+'Variables Entrada'!B11-'Variables Entrada'!B18)</f>
        <v>6.7358876465775833E-2</v>
      </c>
      <c r="C26" s="98" t="s">
        <v>70</v>
      </c>
    </row>
    <row r="27" spans="1:4" x14ac:dyDescent="0.3">
      <c r="A27" s="46" t="s">
        <v>22</v>
      </c>
      <c r="B27" s="53">
        <f>+B7*(1+(1-B8)*(B11/B28))</f>
        <v>1.1336817226890756</v>
      </c>
      <c r="C27" s="99" t="s">
        <v>77</v>
      </c>
    </row>
    <row r="28" spans="1:4" x14ac:dyDescent="0.3">
      <c r="A28" s="46" t="s">
        <v>23</v>
      </c>
      <c r="B28" s="54">
        <f>+B12*B13</f>
        <v>5712</v>
      </c>
      <c r="C28" s="91"/>
    </row>
    <row r="29" spans="1:4" x14ac:dyDescent="0.3">
      <c r="A29" s="46" t="s">
        <v>21</v>
      </c>
      <c r="B29" s="64">
        <f>+B11/(B11+B28)</f>
        <v>0.48899624261943103</v>
      </c>
      <c r="C29" s="89"/>
    </row>
    <row r="30" spans="1:4" x14ac:dyDescent="0.3">
      <c r="A30" s="46" t="s">
        <v>6</v>
      </c>
      <c r="B30" s="56">
        <f>+B5+B6*B27</f>
        <v>7.3750252626050408E-2</v>
      </c>
      <c r="C30" s="61" t="s">
        <v>56</v>
      </c>
    </row>
    <row r="31" spans="1:4" x14ac:dyDescent="0.3">
      <c r="A31" s="46" t="s">
        <v>18</v>
      </c>
      <c r="B31" s="56">
        <f>+B30*(1-B29)+B16*B29*(1-B8)</f>
        <v>4.6855335748792262E-2</v>
      </c>
      <c r="C31" s="61" t="s">
        <v>57</v>
      </c>
    </row>
    <row r="32" spans="1:4" x14ac:dyDescent="0.3">
      <c r="A32" s="67" t="s">
        <v>51</v>
      </c>
      <c r="B32" s="69">
        <f>-('Modelo FCFF'!C13)/'Modelo FCFF'!C12</f>
        <v>-1.4615088763385358</v>
      </c>
      <c r="C32" s="96" t="s">
        <v>71</v>
      </c>
    </row>
    <row r="33" spans="1:3" x14ac:dyDescent="0.3">
      <c r="A33" s="46" t="s">
        <v>32</v>
      </c>
      <c r="B33" s="55">
        <f>+B21/B14</f>
        <v>0.17465224111282843</v>
      </c>
      <c r="C33" s="90"/>
    </row>
    <row r="34" spans="1:3" x14ac:dyDescent="0.3">
      <c r="A34" s="67" t="s">
        <v>50</v>
      </c>
      <c r="B34" s="68">
        <f>+(B14-C14)/(B9+B11-B18)</f>
        <v>-8.9991818925552226E-3</v>
      </c>
      <c r="C34" s="93"/>
    </row>
    <row r="42" spans="1:3" x14ac:dyDescent="0.3">
      <c r="A42" s="1"/>
      <c r="B42" s="40"/>
      <c r="C42" s="94"/>
    </row>
    <row r="43" spans="1:3" x14ac:dyDescent="0.3">
      <c r="A43" s="1"/>
      <c r="B43" s="1"/>
      <c r="C43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BF07E-45DB-4FA2-B58A-09102DD5832E}">
  <dimension ref="A1:S11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3" sqref="D13:R13"/>
    </sheetView>
  </sheetViews>
  <sheetFormatPr baseColWidth="10" defaultRowHeight="12.5" x14ac:dyDescent="0.25"/>
  <cols>
    <col min="1" max="1" width="15.26953125" style="82" customWidth="1"/>
    <col min="2" max="2" width="30.26953125" style="15" bestFit="1" customWidth="1"/>
    <col min="3" max="3" width="10.7265625" style="15" customWidth="1"/>
    <col min="4" max="15" width="10.7265625" style="1" customWidth="1"/>
    <col min="16" max="18" width="10.7265625" customWidth="1"/>
  </cols>
  <sheetData>
    <row r="1" spans="1:19" x14ac:dyDescent="0.25">
      <c r="A1" s="81"/>
      <c r="B1" s="10"/>
      <c r="C1" s="10">
        <f>+'Variables Entrada'!B1</f>
        <v>2018</v>
      </c>
      <c r="D1" s="10">
        <f>+C1+1</f>
        <v>2019</v>
      </c>
      <c r="E1" s="10">
        <f t="shared" ref="E1:R1" si="0">+D1+1</f>
        <v>2020</v>
      </c>
      <c r="F1" s="10">
        <f t="shared" si="0"/>
        <v>2021</v>
      </c>
      <c r="G1" s="10">
        <f t="shared" si="0"/>
        <v>2022</v>
      </c>
      <c r="H1" s="10">
        <f t="shared" si="0"/>
        <v>2023</v>
      </c>
      <c r="I1" s="10">
        <f t="shared" si="0"/>
        <v>2024</v>
      </c>
      <c r="J1" s="10">
        <f t="shared" si="0"/>
        <v>2025</v>
      </c>
      <c r="K1" s="10">
        <f t="shared" si="0"/>
        <v>2026</v>
      </c>
      <c r="L1" s="10">
        <f t="shared" si="0"/>
        <v>2027</v>
      </c>
      <c r="M1" s="10">
        <f t="shared" si="0"/>
        <v>2028</v>
      </c>
      <c r="N1" s="10">
        <f t="shared" si="0"/>
        <v>2029</v>
      </c>
      <c r="O1" s="10">
        <f t="shared" si="0"/>
        <v>2030</v>
      </c>
      <c r="P1" s="10">
        <f t="shared" si="0"/>
        <v>2031</v>
      </c>
      <c r="Q1" s="10">
        <f t="shared" si="0"/>
        <v>2032</v>
      </c>
      <c r="R1" s="10">
        <f t="shared" si="0"/>
        <v>2033</v>
      </c>
    </row>
    <row r="2" spans="1:19" ht="12.5" customHeight="1" x14ac:dyDescent="0.25">
      <c r="A2" s="83" t="s">
        <v>64</v>
      </c>
      <c r="B2" s="2"/>
      <c r="C2" s="2"/>
      <c r="D2" s="33">
        <f>+D1-'Variables Entrada'!$B$2</f>
        <v>-8</v>
      </c>
      <c r="E2" s="33">
        <f>+E1-'Variables Entrada'!$B$2</f>
        <v>-7</v>
      </c>
      <c r="F2" s="33">
        <f>+F1-'Variables Entrada'!$B$2</f>
        <v>-6</v>
      </c>
      <c r="G2" s="33">
        <f>+G1-'Variables Entrada'!$B$2</f>
        <v>-5</v>
      </c>
      <c r="H2" s="33">
        <f>+H1-'Variables Entrada'!$B$2</f>
        <v>-4</v>
      </c>
      <c r="I2" s="33">
        <f>+I1-'Variables Entrada'!$B$2</f>
        <v>-3</v>
      </c>
      <c r="J2" s="33">
        <f>+J1-'Variables Entrada'!$B$2</f>
        <v>-2</v>
      </c>
      <c r="K2" s="33">
        <f>+K1-'Variables Entrada'!$B$2</f>
        <v>-1</v>
      </c>
      <c r="L2" s="33">
        <f>+L1-'Variables Entrada'!$B$2</f>
        <v>0</v>
      </c>
      <c r="M2" s="33">
        <f>+M1-'Variables Entrada'!$B$2</f>
        <v>1</v>
      </c>
      <c r="N2" s="33">
        <f>+N1-'Variables Entrada'!$B$2</f>
        <v>2</v>
      </c>
      <c r="O2" s="33">
        <f>+O1-'Variables Entrada'!$B$2</f>
        <v>3</v>
      </c>
      <c r="P2" s="33">
        <f>+P1-'Variables Entrada'!$B$2</f>
        <v>4</v>
      </c>
      <c r="Q2" s="33">
        <f>+Q1-'Variables Entrada'!$B$2</f>
        <v>5</v>
      </c>
      <c r="R2" s="33">
        <f>+R1-'Variables Entrada'!$B$2</f>
        <v>6</v>
      </c>
    </row>
    <row r="3" spans="1:19" x14ac:dyDescent="0.25">
      <c r="A3" s="82" t="s">
        <v>83</v>
      </c>
      <c r="B3" s="3" t="s">
        <v>1</v>
      </c>
      <c r="C3" s="30">
        <f>+'Variables Entrada'!B14</f>
        <v>1294</v>
      </c>
      <c r="D3" s="5">
        <v>1288.06</v>
      </c>
      <c r="E3" s="5">
        <v>1281.490894</v>
      </c>
      <c r="F3" s="5">
        <v>1181.490894</v>
      </c>
      <c r="G3" s="5">
        <v>1131.490894</v>
      </c>
      <c r="H3" s="5">
        <v>1081.490894</v>
      </c>
      <c r="I3" s="5">
        <v>1031.490894</v>
      </c>
      <c r="J3" s="5">
        <v>981.49089400000003</v>
      </c>
      <c r="K3" s="5">
        <v>968.66000000000008</v>
      </c>
      <c r="L3" s="5">
        <v>974</v>
      </c>
      <c r="M3" s="5">
        <f>+L3*1.0175</f>
        <v>991.04500000000007</v>
      </c>
      <c r="N3" s="5"/>
      <c r="O3" s="5"/>
      <c r="P3" s="5"/>
      <c r="Q3" s="5"/>
      <c r="R3" s="5"/>
    </row>
    <row r="4" spans="1:19" x14ac:dyDescent="0.25">
      <c r="B4" s="87" t="s">
        <v>0</v>
      </c>
      <c r="C4" s="88"/>
      <c r="D4" s="88">
        <f t="shared" ref="D4" si="1">+D3/C3-1</f>
        <v>-4.590417310664674E-3</v>
      </c>
      <c r="E4" s="88">
        <f t="shared" ref="E4:L4" si="2">+E3/D3-1</f>
        <v>-5.0999999999998824E-3</v>
      </c>
      <c r="F4" s="88">
        <f t="shared" si="2"/>
        <v>-7.8034108918139555E-2</v>
      </c>
      <c r="G4" s="88">
        <f t="shared" si="2"/>
        <v>-4.2319412069882656E-2</v>
      </c>
      <c r="H4" s="88">
        <f t="shared" si="2"/>
        <v>-4.4189485098940606E-2</v>
      </c>
      <c r="I4" s="88">
        <f t="shared" si="2"/>
        <v>-4.6232474334638285E-2</v>
      </c>
      <c r="J4" s="88">
        <f t="shared" si="2"/>
        <v>-4.8473525351354185E-2</v>
      </c>
      <c r="K4" s="88">
        <f t="shared" si="2"/>
        <v>-1.3072860969405964E-2</v>
      </c>
      <c r="L4" s="88">
        <f t="shared" si="2"/>
        <v>5.5127702186525962E-3</v>
      </c>
      <c r="M4" s="88">
        <f t="shared" ref="M4" si="3">+M3/L3-1</f>
        <v>1.7500000000000071E-2</v>
      </c>
      <c r="N4" s="88">
        <f t="shared" ref="N4" si="4">+N3/M3-1</f>
        <v>-1</v>
      </c>
      <c r="O4" s="88" t="e">
        <f t="shared" ref="O4" si="5">+O3/N3-1</f>
        <v>#DIV/0!</v>
      </c>
      <c r="P4" s="88" t="e">
        <f t="shared" ref="P4" si="6">+P3/O3-1</f>
        <v>#DIV/0!</v>
      </c>
      <c r="Q4" s="88" t="e">
        <f t="shared" ref="Q4" si="7">+Q3/P3-1</f>
        <v>#DIV/0!</v>
      </c>
      <c r="R4" s="88" t="e">
        <f t="shared" ref="R4" si="8">+R3/Q3-1</f>
        <v>#DIV/0!</v>
      </c>
    </row>
    <row r="5" spans="1:19" x14ac:dyDescent="0.25">
      <c r="A5" s="100" t="s">
        <v>78</v>
      </c>
      <c r="B5" s="3" t="s">
        <v>4</v>
      </c>
      <c r="C5" s="85">
        <f>+C3-C7</f>
        <v>635.32000000000005</v>
      </c>
      <c r="D5" s="86">
        <f>(1-D8)*D3</f>
        <v>632.40361607418856</v>
      </c>
      <c r="E5" s="86">
        <f t="shared" ref="E5:R5" si="9">(1-E8)*E3</f>
        <v>629.17835763221024</v>
      </c>
      <c r="F5" s="86">
        <f t="shared" si="9"/>
        <v>580.0809851438022</v>
      </c>
      <c r="G5" s="86">
        <f t="shared" si="9"/>
        <v>555.53229889959823</v>
      </c>
      <c r="H5" s="86">
        <f t="shared" si="9"/>
        <v>530.98361265539415</v>
      </c>
      <c r="I5" s="86">
        <f t="shared" si="9"/>
        <v>506.43492641119019</v>
      </c>
      <c r="J5" s="86">
        <f t="shared" si="9"/>
        <v>481.88624016698617</v>
      </c>
      <c r="K5" s="86">
        <f t="shared" si="9"/>
        <v>475.58660834621338</v>
      </c>
      <c r="L5" s="86">
        <f t="shared" si="9"/>
        <v>478.20840803709433</v>
      </c>
      <c r="M5" s="86">
        <f t="shared" si="9"/>
        <v>486.57705517774349</v>
      </c>
      <c r="N5" s="86">
        <f t="shared" si="9"/>
        <v>0</v>
      </c>
      <c r="O5" s="86">
        <f t="shared" si="9"/>
        <v>0</v>
      </c>
      <c r="P5" s="86">
        <f t="shared" si="9"/>
        <v>0</v>
      </c>
      <c r="Q5" s="86">
        <f t="shared" si="9"/>
        <v>0</v>
      </c>
      <c r="R5" s="86">
        <f t="shared" si="9"/>
        <v>0</v>
      </c>
    </row>
    <row r="6" spans="1:19" x14ac:dyDescent="0.25">
      <c r="B6" s="101" t="s">
        <v>80</v>
      </c>
      <c r="C6" s="6"/>
      <c r="D6" s="102" t="str">
        <f>IF('Variables Entrada'!$B$3="G",IF('Modelo FCFF'!D1&lt;=('Variables Entrada'!$B$1+'Variables Entrada'!$B$2),"G","E"),'Variables Entrada'!$B$3)</f>
        <v>E</v>
      </c>
      <c r="E6" s="102" t="str">
        <f>IF('Variables Entrada'!$B$3="G",IF('Modelo FCFF'!E1&lt;=('Variables Entrada'!$B$1+'Variables Entrada'!$B$2),"G","E"),'Variables Entrada'!$B$3)</f>
        <v>E</v>
      </c>
      <c r="F6" s="102" t="str">
        <f>IF('Variables Entrada'!$B$3="G",IF('Modelo FCFF'!F1&lt;=('Variables Entrada'!$B$1+'Variables Entrada'!$B$2),"G","E"),'Variables Entrada'!$B$3)</f>
        <v>E</v>
      </c>
      <c r="G6" s="102" t="str">
        <f>IF('Variables Entrada'!$B$3="G",IF('Modelo FCFF'!G1&lt;=('Variables Entrada'!$B$1+'Variables Entrada'!$B$2),"G","E"),'Variables Entrada'!$B$3)</f>
        <v>E</v>
      </c>
      <c r="H6" s="102" t="str">
        <f>IF('Variables Entrada'!$B$3="G",IF('Modelo FCFF'!H1&lt;=('Variables Entrada'!$B$1+'Variables Entrada'!$B$2),"G","E"),'Variables Entrada'!$B$3)</f>
        <v>E</v>
      </c>
      <c r="I6" s="102" t="str">
        <f>IF('Variables Entrada'!$B$3="G",IF('Modelo FCFF'!I1&lt;=('Variables Entrada'!$B$1+'Variables Entrada'!$B$2),"G","E"),'Variables Entrada'!$B$3)</f>
        <v>E</v>
      </c>
      <c r="J6" s="102" t="str">
        <f>IF('Variables Entrada'!$B$3="G",IF('Modelo FCFF'!J1&lt;=('Variables Entrada'!$B$1+'Variables Entrada'!$B$2),"G","E"),'Variables Entrada'!$B$3)</f>
        <v>E</v>
      </c>
      <c r="K6" s="102" t="str">
        <f>IF('Variables Entrada'!$B$3="G",IF('Modelo FCFF'!K1&lt;=('Variables Entrada'!$B$1+'Variables Entrada'!$B$2),"G","E"),'Variables Entrada'!$B$3)</f>
        <v>E</v>
      </c>
      <c r="L6" s="102" t="str">
        <f>IF('Variables Entrada'!$B$3="G",IF('Modelo FCFF'!L1&lt;=('Variables Entrada'!$B$1+'Variables Entrada'!$B$2),"G","E"),'Variables Entrada'!$B$3)</f>
        <v>E</v>
      </c>
      <c r="M6" s="102" t="str">
        <f>IF('Variables Entrada'!$B$3="G",IF('Modelo FCFF'!M1&lt;=('Variables Entrada'!$B$1+'Variables Entrada'!$B$2),"G","E"),'Variables Entrada'!$B$3)</f>
        <v>E</v>
      </c>
      <c r="N6" s="102" t="str">
        <f>IF('Variables Entrada'!$B$3="G",IF('Modelo FCFF'!N1&lt;=('Variables Entrada'!$B$1+'Variables Entrada'!$B$2),"G","E"),'Variables Entrada'!$B$3)</f>
        <v>E</v>
      </c>
      <c r="O6" s="102" t="str">
        <f>IF('Variables Entrada'!$B$3="G",IF('Modelo FCFF'!O1&lt;=('Variables Entrada'!$B$1+'Variables Entrada'!$B$2),"G","E"),'Variables Entrada'!$B$3)</f>
        <v>E</v>
      </c>
      <c r="P6" s="102" t="str">
        <f>IF('Variables Entrada'!$B$3="G",IF('Modelo FCFF'!P1&lt;=('Variables Entrada'!$B$1+'Variables Entrada'!$B$2),"G","E"),'Variables Entrada'!$B$3)</f>
        <v>E</v>
      </c>
      <c r="Q6" s="102" t="str">
        <f>IF('Variables Entrada'!$B$3="G",IF('Modelo FCFF'!Q1&lt;=('Variables Entrada'!$B$1+'Variables Entrada'!$B$2),"G","E"),'Variables Entrada'!$B$3)</f>
        <v>E</v>
      </c>
      <c r="R6" s="102" t="str">
        <f>IF('Variables Entrada'!$B$3="G",IF('Modelo FCFF'!R1&lt;=('Variables Entrada'!$B$1+'Variables Entrada'!$B$2),"G","E"),'Variables Entrada'!$B$3)</f>
        <v>E</v>
      </c>
    </row>
    <row r="7" spans="1:19" x14ac:dyDescent="0.25">
      <c r="B7" s="3" t="s">
        <v>3</v>
      </c>
      <c r="C7" s="4">
        <f>+'Variables Entrada'!B15</f>
        <v>658.68</v>
      </c>
      <c r="D7" s="16">
        <f t="shared" ref="D7:R7" si="10">+D3-D5</f>
        <v>655.65638392581138</v>
      </c>
      <c r="E7" s="16">
        <f t="shared" si="10"/>
        <v>652.31253636778979</v>
      </c>
      <c r="F7" s="16">
        <f t="shared" si="10"/>
        <v>601.40990885619783</v>
      </c>
      <c r="G7" s="16">
        <f t="shared" si="10"/>
        <v>575.95859510040179</v>
      </c>
      <c r="H7" s="16">
        <f t="shared" si="10"/>
        <v>550.50728134460587</v>
      </c>
      <c r="I7" s="16">
        <f t="shared" si="10"/>
        <v>525.05596758880984</v>
      </c>
      <c r="J7" s="16">
        <f t="shared" si="10"/>
        <v>499.60465383301386</v>
      </c>
      <c r="K7" s="16">
        <f t="shared" si="10"/>
        <v>493.0733916537867</v>
      </c>
      <c r="L7" s="16">
        <f t="shared" si="10"/>
        <v>495.79159196290567</v>
      </c>
      <c r="M7" s="16">
        <f t="shared" si="10"/>
        <v>504.46794482225658</v>
      </c>
      <c r="N7" s="16">
        <f t="shared" si="10"/>
        <v>0</v>
      </c>
      <c r="O7" s="16">
        <f t="shared" si="10"/>
        <v>0</v>
      </c>
      <c r="P7" s="16">
        <f t="shared" si="10"/>
        <v>0</v>
      </c>
      <c r="Q7" s="16">
        <f t="shared" si="10"/>
        <v>0</v>
      </c>
      <c r="R7" s="16">
        <f t="shared" si="10"/>
        <v>0</v>
      </c>
    </row>
    <row r="8" spans="1:19" x14ac:dyDescent="0.25">
      <c r="A8" s="82" t="s">
        <v>59</v>
      </c>
      <c r="B8" s="7" t="s">
        <v>2</v>
      </c>
      <c r="C8" s="12">
        <f t="shared" ref="C8" si="11">+C7/C3</f>
        <v>0.50902627511591958</v>
      </c>
      <c r="D8" s="32">
        <f>+C8</f>
        <v>0.50902627511591958</v>
      </c>
      <c r="E8" s="32">
        <f t="shared" ref="E8:L8" si="12">+D8</f>
        <v>0.50902627511591958</v>
      </c>
      <c r="F8" s="32">
        <f t="shared" si="12"/>
        <v>0.50902627511591958</v>
      </c>
      <c r="G8" s="32">
        <f t="shared" si="12"/>
        <v>0.50902627511591958</v>
      </c>
      <c r="H8" s="32">
        <f t="shared" si="12"/>
        <v>0.50902627511591958</v>
      </c>
      <c r="I8" s="32">
        <f t="shared" si="12"/>
        <v>0.50902627511591958</v>
      </c>
      <c r="J8" s="32">
        <f t="shared" si="12"/>
        <v>0.50902627511591958</v>
      </c>
      <c r="K8" s="32">
        <f t="shared" si="12"/>
        <v>0.50902627511591958</v>
      </c>
      <c r="L8" s="32">
        <f t="shared" si="12"/>
        <v>0.50902627511591958</v>
      </c>
      <c r="M8" s="32">
        <f t="shared" ref="M8:R8" si="13">+L8</f>
        <v>0.50902627511591958</v>
      </c>
      <c r="N8" s="32">
        <f t="shared" si="13"/>
        <v>0.50902627511591958</v>
      </c>
      <c r="O8" s="32">
        <f t="shared" si="13"/>
        <v>0.50902627511591958</v>
      </c>
      <c r="P8" s="32">
        <f t="shared" si="13"/>
        <v>0.50902627511591958</v>
      </c>
      <c r="Q8" s="32">
        <f t="shared" si="13"/>
        <v>0.50902627511591958</v>
      </c>
      <c r="R8" s="32">
        <f t="shared" si="13"/>
        <v>0.50902627511591958</v>
      </c>
    </row>
    <row r="9" spans="1:19" x14ac:dyDescent="0.25">
      <c r="A9" s="82" t="s">
        <v>79</v>
      </c>
      <c r="C9" s="8" t="s">
        <v>28</v>
      </c>
      <c r="D9" s="79">
        <f>+'Variables Entrada'!B24</f>
        <v>6.7000000000000004E-2</v>
      </c>
      <c r="E9" s="79">
        <f t="shared" ref="E9:R9" si="14">+D9</f>
        <v>6.7000000000000004E-2</v>
      </c>
      <c r="F9" s="79">
        <f t="shared" si="14"/>
        <v>6.7000000000000004E-2</v>
      </c>
      <c r="G9" s="79">
        <f t="shared" si="14"/>
        <v>6.7000000000000004E-2</v>
      </c>
      <c r="H9" s="79">
        <f t="shared" si="14"/>
        <v>6.7000000000000004E-2</v>
      </c>
      <c r="I9" s="79">
        <f t="shared" si="14"/>
        <v>6.7000000000000004E-2</v>
      </c>
      <c r="J9" s="79">
        <f t="shared" si="14"/>
        <v>6.7000000000000004E-2</v>
      </c>
      <c r="K9" s="79">
        <f t="shared" si="14"/>
        <v>6.7000000000000004E-2</v>
      </c>
      <c r="L9" s="79">
        <f t="shared" si="14"/>
        <v>6.7000000000000004E-2</v>
      </c>
      <c r="M9" s="79">
        <f t="shared" si="14"/>
        <v>6.7000000000000004E-2</v>
      </c>
      <c r="N9" s="79">
        <f t="shared" si="14"/>
        <v>6.7000000000000004E-2</v>
      </c>
      <c r="O9" s="79">
        <f t="shared" si="14"/>
        <v>6.7000000000000004E-2</v>
      </c>
      <c r="P9" s="79">
        <f t="shared" si="14"/>
        <v>6.7000000000000004E-2</v>
      </c>
      <c r="Q9" s="79">
        <f t="shared" si="14"/>
        <v>6.7000000000000004E-2</v>
      </c>
      <c r="R9" s="79">
        <f t="shared" si="14"/>
        <v>6.7000000000000004E-2</v>
      </c>
    </row>
    <row r="10" spans="1:19" x14ac:dyDescent="0.25">
      <c r="A10" s="82" t="s">
        <v>81</v>
      </c>
      <c r="B10" s="30"/>
      <c r="C10" s="15" t="s">
        <v>50</v>
      </c>
      <c r="D10" s="5">
        <f>+'Variables Entrada'!B34</f>
        <v>-8.9991818925552226E-3</v>
      </c>
      <c r="E10" s="5">
        <f t="shared" ref="E10:R10" si="15">+D10</f>
        <v>-8.9991818925552226E-3</v>
      </c>
      <c r="F10" s="5">
        <f t="shared" si="15"/>
        <v>-8.9991818925552226E-3</v>
      </c>
      <c r="G10" s="5">
        <f t="shared" si="15"/>
        <v>-8.9991818925552226E-3</v>
      </c>
      <c r="H10" s="5">
        <f t="shared" si="15"/>
        <v>-8.9991818925552226E-3</v>
      </c>
      <c r="I10" s="5">
        <f t="shared" si="15"/>
        <v>-8.9991818925552226E-3</v>
      </c>
      <c r="J10" s="5">
        <f t="shared" si="15"/>
        <v>-8.9991818925552226E-3</v>
      </c>
      <c r="K10" s="5">
        <f t="shared" si="15"/>
        <v>-8.9991818925552226E-3</v>
      </c>
      <c r="L10" s="5">
        <f t="shared" si="15"/>
        <v>-8.9991818925552226E-3</v>
      </c>
      <c r="M10" s="5">
        <f t="shared" si="15"/>
        <v>-8.9991818925552226E-3</v>
      </c>
      <c r="N10" s="5">
        <f t="shared" si="15"/>
        <v>-8.9991818925552226E-3</v>
      </c>
      <c r="O10" s="5">
        <f t="shared" si="15"/>
        <v>-8.9991818925552226E-3</v>
      </c>
      <c r="P10" s="5">
        <f t="shared" si="15"/>
        <v>-8.9991818925552226E-3</v>
      </c>
      <c r="Q10" s="5">
        <f t="shared" si="15"/>
        <v>-8.9991818925552226E-3</v>
      </c>
      <c r="R10" s="5">
        <f t="shared" si="15"/>
        <v>-8.9991818925552226E-3</v>
      </c>
    </row>
    <row r="11" spans="1:19" x14ac:dyDescent="0.25">
      <c r="A11" s="80" t="s">
        <v>60</v>
      </c>
      <c r="B11" s="7" t="s">
        <v>5</v>
      </c>
      <c r="C11" s="12">
        <f>+'Variables Entrada'!$B$8</f>
        <v>0.25</v>
      </c>
      <c r="D11" s="12">
        <f>+'Variables Entrada'!$B$8</f>
        <v>0.25</v>
      </c>
      <c r="E11" s="12">
        <f>+D11</f>
        <v>0.25</v>
      </c>
      <c r="F11" s="12">
        <f t="shared" ref="F11:R11" si="16">+E11</f>
        <v>0.25</v>
      </c>
      <c r="G11" s="12">
        <f t="shared" si="16"/>
        <v>0.25</v>
      </c>
      <c r="H11" s="12">
        <f t="shared" si="16"/>
        <v>0.25</v>
      </c>
      <c r="I11" s="12">
        <f t="shared" si="16"/>
        <v>0.25</v>
      </c>
      <c r="J11" s="12">
        <f t="shared" si="16"/>
        <v>0.25</v>
      </c>
      <c r="K11" s="12">
        <f t="shared" si="16"/>
        <v>0.25</v>
      </c>
      <c r="L11" s="12">
        <f t="shared" si="16"/>
        <v>0.25</v>
      </c>
      <c r="M11" s="12">
        <f t="shared" si="16"/>
        <v>0.25</v>
      </c>
      <c r="N11" s="12">
        <f t="shared" si="16"/>
        <v>0.25</v>
      </c>
      <c r="O11" s="12">
        <f t="shared" si="16"/>
        <v>0.25</v>
      </c>
      <c r="P11" s="12">
        <f t="shared" si="16"/>
        <v>0.25</v>
      </c>
      <c r="Q11" s="12">
        <f t="shared" si="16"/>
        <v>0.25</v>
      </c>
      <c r="R11" s="12">
        <f t="shared" si="16"/>
        <v>0.25</v>
      </c>
    </row>
    <row r="12" spans="1:19" x14ac:dyDescent="0.25">
      <c r="B12" s="17" t="s">
        <v>7</v>
      </c>
      <c r="C12" s="6">
        <f t="shared" ref="C12:R12" si="17">+(C7)*(1-C11)</f>
        <v>494.01</v>
      </c>
      <c r="D12" s="6">
        <f t="shared" si="17"/>
        <v>491.74228794435851</v>
      </c>
      <c r="E12" s="6">
        <f t="shared" si="17"/>
        <v>489.23440227584234</v>
      </c>
      <c r="F12" s="6">
        <f t="shared" si="17"/>
        <v>451.05743164214834</v>
      </c>
      <c r="G12" s="6">
        <f t="shared" si="17"/>
        <v>431.96894632530132</v>
      </c>
      <c r="H12" s="6">
        <f t="shared" si="17"/>
        <v>412.8804610084544</v>
      </c>
      <c r="I12" s="6">
        <f t="shared" si="17"/>
        <v>393.79197569160738</v>
      </c>
      <c r="J12" s="6">
        <f t="shared" si="17"/>
        <v>374.70349037476041</v>
      </c>
      <c r="K12" s="6">
        <f t="shared" si="17"/>
        <v>369.80504374034001</v>
      </c>
      <c r="L12" s="6">
        <f t="shared" si="17"/>
        <v>371.84369397217927</v>
      </c>
      <c r="M12" s="6">
        <f t="shared" si="17"/>
        <v>378.35095861669242</v>
      </c>
      <c r="N12" s="6">
        <f t="shared" si="17"/>
        <v>0</v>
      </c>
      <c r="O12" s="6">
        <f t="shared" si="17"/>
        <v>0</v>
      </c>
      <c r="P12" s="6">
        <f t="shared" si="17"/>
        <v>0</v>
      </c>
      <c r="Q12" s="6">
        <f t="shared" si="17"/>
        <v>0</v>
      </c>
      <c r="R12" s="6">
        <f t="shared" si="17"/>
        <v>0</v>
      </c>
    </row>
    <row r="13" spans="1:19" ht="12.5" customHeight="1" x14ac:dyDescent="0.25">
      <c r="A13" s="82" t="s">
        <v>82</v>
      </c>
      <c r="B13" s="18" t="s">
        <v>58</v>
      </c>
      <c r="C13" s="18">
        <f>+'Variables Entrada'!B19+'Variables Entrada'!B20-('Variables Entrada'!B21-'Variables Entrada'!C21)</f>
        <v>722</v>
      </c>
      <c r="D13" s="42">
        <f>IF('Variables Entrada'!$B$3="G",IF('Modelo FCFF'!D1&lt;=('Variables Entrada'!$B$1+'Variables Entrada'!$B$4),-(D3-C3)/D10,-'Modelo FCFF'!D4/'Modelo FCFF'!D9*D12),-'Modelo FCFF'!D4/'Modelo FCFF'!D9*D12)</f>
        <v>33.691079268143817</v>
      </c>
      <c r="E13" s="42">
        <f>IF('Variables Entrada'!$B$3="G",IF('Modelo FCFF'!E1&lt;=('Variables Entrada'!$B$1+'Variables Entrada'!$B$4),-(E3-D3)/E10,-'Modelo FCFF'!E4/'Modelo FCFF'!E9*E12),-'Modelo FCFF'!E4/'Modelo FCFF'!E9*E12)</f>
        <v>37.240230620996094</v>
      </c>
      <c r="F13" s="42">
        <f>IF('Variables Entrada'!$B$3="G",IF('Modelo FCFF'!F1&lt;=('Variables Entrada'!$B$1+'Variables Entrada'!$B$4),-(F3-E3)/F10,-'Modelo FCFF'!F4/'Modelo FCFF'!F9*F12),-'Modelo FCFF'!F4/'Modelo FCFF'!F9*F12)</f>
        <v>525.3412649119357</v>
      </c>
      <c r="G13" s="42">
        <f>IF('Variables Entrada'!$B$3="G",IF('Modelo FCFF'!G1&lt;=('Variables Entrada'!$B$1+'Variables Entrada'!$B$4),-(G3-F3)/G10,-'Modelo FCFF'!G4/'Modelo FCFF'!G9*G12),-'Modelo FCFF'!G4/'Modelo FCFF'!G9*G12)</f>
        <v>272.84584837214101</v>
      </c>
      <c r="H13" s="42">
        <f>IF('Variables Entrada'!$B$3="G",IF('Modelo FCFF'!H1&lt;=('Variables Entrada'!$B$1+'Variables Entrada'!$B$4),-(H3-G3)/H10,-'Modelo FCFF'!H4/'Modelo FCFF'!H9*H12),-'Modelo FCFF'!H4/'Modelo FCFF'!H9*H12)</f>
        <v>272.31305939368394</v>
      </c>
      <c r="I13" s="42">
        <f>IF('Variables Entrada'!$B$3="G",IF('Modelo FCFF'!I1&lt;=('Variables Entrada'!$B$1+'Variables Entrada'!$B$4),-(I3-H3)/I10,-'Modelo FCFF'!I4/'Modelo FCFF'!I9*I12),-'Modelo FCFF'!I4/'Modelo FCFF'!I9*I12)</f>
        <v>271.73100610968265</v>
      </c>
      <c r="J13" s="42">
        <f>IF('Variables Entrada'!$B$3="G",IF('Modelo FCFF'!J1&lt;=('Variables Entrada'!$B$1+'Variables Entrada'!$B$4),-(J3-I3)/J10,-'Modelo FCFF'!J4/'Modelo FCFF'!J9*J12),-'Modelo FCFF'!J4/'Modelo FCFF'!J9*J12)</f>
        <v>271.09252447644548</v>
      </c>
      <c r="K13" s="42">
        <f>IF('Variables Entrada'!$B$3="G",IF('Modelo FCFF'!K1&lt;=('Variables Entrada'!$B$1+'Variables Entrada'!$B$4),-(K3-J3)/K10,-'Modelo FCFF'!K4/'Modelo FCFF'!K9*K12),-'Modelo FCFF'!K4/'Modelo FCFF'!K9*K12)</f>
        <v>72.155371979142629</v>
      </c>
      <c r="L13" s="42">
        <f>IF('Variables Entrada'!$B$3="G",IF('Modelo FCFF'!L1&lt;=('Variables Entrada'!$B$1+'Variables Entrada'!$B$4),-(L3-K3)/L10,-'Modelo FCFF'!L4/'Modelo FCFF'!L9*L12),-'Modelo FCFF'!L4/'Modelo FCFF'!L9*L12)</f>
        <v>-30.595355852591041</v>
      </c>
      <c r="M13" s="42">
        <f>IF('Variables Entrada'!$B$3="G",IF('Modelo FCFF'!M1&lt;=('Variables Entrada'!$B$1+'Variables Entrada'!$B$4),-(M3-L3)/M10,-'Modelo FCFF'!M4/'Modelo FCFF'!M9*M12),-'Modelo FCFF'!M4/'Modelo FCFF'!M9*M12)</f>
        <v>-98.82301157898722</v>
      </c>
      <c r="N13" s="42">
        <f>IF('Variables Entrada'!$B$3="G",IF('Modelo FCFF'!N1&lt;=('Variables Entrada'!$B$1+'Variables Entrada'!$B$4),-(N3-M3)/N10,-'Modelo FCFF'!N4/'Modelo FCFF'!N9*N12),-'Modelo FCFF'!N4/'Modelo FCFF'!N9*N12)</f>
        <v>0</v>
      </c>
      <c r="O13" s="42" t="e">
        <f>IF('Variables Entrada'!$B$3="G",IF('Modelo FCFF'!O1&lt;=('Variables Entrada'!$B$1+'Variables Entrada'!$B$4),-(O3-N3)/O10,-'Modelo FCFF'!O4/'Modelo FCFF'!O9*O12),-'Modelo FCFF'!O4/'Modelo FCFF'!O9*O12)</f>
        <v>#DIV/0!</v>
      </c>
      <c r="P13" s="42" t="e">
        <f>IF('Variables Entrada'!$B$3="G",IF('Modelo FCFF'!P1&lt;=('Variables Entrada'!$B$1+'Variables Entrada'!$B$4),-(P3-O3)/P10,-'Modelo FCFF'!P4/'Modelo FCFF'!P9*P12),-'Modelo FCFF'!P4/'Modelo FCFF'!P9*P12)</f>
        <v>#DIV/0!</v>
      </c>
      <c r="Q13" s="42" t="e">
        <f>IF('Variables Entrada'!$B$3="G",IF('Modelo FCFF'!Q1&lt;=('Variables Entrada'!$B$1+'Variables Entrada'!$B$4),-(Q3-P3)/Q10,-'Modelo FCFF'!Q4/'Modelo FCFF'!Q9*Q12),-'Modelo FCFF'!Q4/'Modelo FCFF'!Q9*Q12)</f>
        <v>#DIV/0!</v>
      </c>
      <c r="R13" s="42" t="e">
        <f>IF('Variables Entrada'!$B$3="G",IF('Modelo FCFF'!R1&lt;=('Variables Entrada'!$B$1+'Variables Entrada'!$B$4),-(R3-Q3)/R10,-'Modelo FCFF'!R4/'Modelo FCFF'!R9*R12),-'Modelo FCFF'!R4/'Modelo FCFF'!R9*R12)</f>
        <v>#DIV/0!</v>
      </c>
    </row>
    <row r="14" spans="1:19" x14ac:dyDescent="0.25">
      <c r="A14" s="82" t="s">
        <v>61</v>
      </c>
      <c r="B14" s="19" t="s">
        <v>16</v>
      </c>
      <c r="C14" s="38">
        <f>+C12+C13</f>
        <v>1216.01</v>
      </c>
      <c r="D14" s="38">
        <f>+D12+D13</f>
        <v>525.43336721250228</v>
      </c>
      <c r="E14" s="38">
        <f t="shared" ref="E14:R14" si="18">+E12+E13</f>
        <v>526.47463289683844</v>
      </c>
      <c r="F14" s="38">
        <f t="shared" si="18"/>
        <v>976.39869655408404</v>
      </c>
      <c r="G14" s="38">
        <f t="shared" si="18"/>
        <v>704.81479469744227</v>
      </c>
      <c r="H14" s="38">
        <f t="shared" si="18"/>
        <v>685.19352040213835</v>
      </c>
      <c r="I14" s="38">
        <f t="shared" si="18"/>
        <v>665.52298180129003</v>
      </c>
      <c r="J14" s="38">
        <f t="shared" si="18"/>
        <v>645.79601485120588</v>
      </c>
      <c r="K14" s="38">
        <f t="shared" si="18"/>
        <v>441.96041571948263</v>
      </c>
      <c r="L14" s="38">
        <f t="shared" si="18"/>
        <v>341.2483381195882</v>
      </c>
      <c r="M14" s="38">
        <f t="shared" si="18"/>
        <v>279.52794703770519</v>
      </c>
      <c r="N14" s="38">
        <f t="shared" si="18"/>
        <v>0</v>
      </c>
      <c r="O14" s="38" t="e">
        <f t="shared" si="18"/>
        <v>#DIV/0!</v>
      </c>
      <c r="P14" s="38" t="e">
        <f t="shared" si="18"/>
        <v>#DIV/0!</v>
      </c>
      <c r="Q14" s="38" t="e">
        <f t="shared" si="18"/>
        <v>#DIV/0!</v>
      </c>
      <c r="R14" s="38" t="e">
        <f t="shared" si="18"/>
        <v>#DIV/0!</v>
      </c>
      <c r="S14" s="38"/>
    </row>
    <row r="15" spans="1:19" x14ac:dyDescent="0.25">
      <c r="A15" s="82" t="s">
        <v>62</v>
      </c>
      <c r="B15" s="19" t="s">
        <v>17</v>
      </c>
      <c r="C15" s="9"/>
      <c r="D15" s="6">
        <f>+D14/(1+'Variables Entrada'!$B$31)^(D1-$C$1)</f>
        <v>501.91592789339086</v>
      </c>
      <c r="E15" s="6">
        <f>+E14/(1+'Variables Entrada'!$B$31)^(E1-$C$1)</f>
        <v>480.40122761074849</v>
      </c>
      <c r="F15" s="6">
        <f>+F14/(1+'Variables Entrada'!$B$31)^(F1-$C$1)</f>
        <v>851.07371572001887</v>
      </c>
      <c r="G15" s="6">
        <f>+G14/(1+'Variables Entrada'!$B$31)^(G1-$C$1)</f>
        <v>586.85164718864144</v>
      </c>
      <c r="H15" s="6">
        <f>+H14/(1+'Variables Entrada'!$B$31)^(H1-$C$1)</f>
        <v>544.9791567501012</v>
      </c>
      <c r="I15" s="6">
        <f>+I14/(1+'Variables Entrada'!$B$31)^(I1-$C$1)</f>
        <v>505.64187299075775</v>
      </c>
      <c r="J15" s="6">
        <f>+J14/(1+'Variables Entrada'!$B$31)^(J1-$C$1)</f>
        <v>468.69321226886746</v>
      </c>
      <c r="K15" s="6">
        <f>+K14/(1+'Variables Entrada'!$B$31)^(K1-$C$1)</f>
        <v>306.40087822479381</v>
      </c>
      <c r="L15" s="6">
        <f>+L14/(1+'Variables Entrada'!$B$31)^(L1-$C$1)</f>
        <v>225.99066829174726</v>
      </c>
      <c r="M15" s="6">
        <f>+M14/(1+'Variables Entrada'!$B$31)^(M1-$C$1)</f>
        <v>176.83104984385514</v>
      </c>
      <c r="N15" s="6">
        <f>+N14/(1+'Variables Entrada'!$B$31)^(N1-$C$1)</f>
        <v>0</v>
      </c>
      <c r="O15" s="6" t="e">
        <f>+O14/(1+'Variables Entrada'!$B$31)^(O1-$C$1)</f>
        <v>#DIV/0!</v>
      </c>
      <c r="P15" s="6" t="e">
        <f>+P14/(1+'Variables Entrada'!$B$31)^(P1-$C$1)</f>
        <v>#DIV/0!</v>
      </c>
      <c r="Q15" s="6" t="e">
        <f>+Q14/(1+'Variables Entrada'!$B$31)^(Q1-$C$1)</f>
        <v>#DIV/0!</v>
      </c>
      <c r="R15" s="6" t="e">
        <f>+R14/(1+'Variables Entrada'!$B$31)^(R1-$C$1)</f>
        <v>#DIV/0!</v>
      </c>
    </row>
    <row r="16" spans="1:19" x14ac:dyDescent="0.25">
      <c r="B16" s="76" t="s">
        <v>28</v>
      </c>
      <c r="C16" s="41">
        <f t="shared" ref="C16:R16" si="19">+C12/C17</f>
        <v>6.7358876465775833E-2</v>
      </c>
      <c r="D16" s="103">
        <f t="shared" si="19"/>
        <v>6.7359106756137294E-2</v>
      </c>
      <c r="E16" s="103">
        <f t="shared" si="19"/>
        <v>6.7359187025446521E-2</v>
      </c>
      <c r="F16" s="103">
        <f t="shared" si="19"/>
        <v>6.6945039948515181E-2</v>
      </c>
      <c r="G16" s="103">
        <f t="shared" si="19"/>
        <v>6.6817766295005909E-2</v>
      </c>
      <c r="H16" s="103">
        <f t="shared" si="19"/>
        <v>6.6673539395830331E-2</v>
      </c>
      <c r="I16" s="103">
        <f t="shared" si="19"/>
        <v>6.6509505612760436E-2</v>
      </c>
      <c r="J16" s="103">
        <f t="shared" si="19"/>
        <v>6.6322195293256267E-2</v>
      </c>
      <c r="K16" s="103">
        <f t="shared" si="19"/>
        <v>6.6301945692557582E-2</v>
      </c>
      <c r="L16" s="103">
        <f t="shared" si="19"/>
        <v>6.6303749950032895E-2</v>
      </c>
      <c r="M16" s="103">
        <f t="shared" si="19"/>
        <v>6.629585236084623E-2</v>
      </c>
      <c r="N16" s="103">
        <f t="shared" si="19"/>
        <v>0</v>
      </c>
      <c r="O16" s="103" t="e">
        <f t="shared" si="19"/>
        <v>#DIV/0!</v>
      </c>
      <c r="P16" s="103" t="e">
        <f t="shared" si="19"/>
        <v>#DIV/0!</v>
      </c>
      <c r="Q16" s="103" t="e">
        <f t="shared" si="19"/>
        <v>#DIV/0!</v>
      </c>
      <c r="R16" s="103" t="e">
        <f t="shared" si="19"/>
        <v>#DIV/0!</v>
      </c>
    </row>
    <row r="17" spans="2:18" x14ac:dyDescent="0.25">
      <c r="B17" s="76" t="s">
        <v>29</v>
      </c>
      <c r="C17" s="43">
        <f>+'Variables Entrada'!B9+'Variables Entrada'!B11-'Variables Entrada'!B18</f>
        <v>7334</v>
      </c>
      <c r="D17" s="75">
        <f t="shared" ref="D17:R17" si="20">+C17-D13</f>
        <v>7300.3089207318562</v>
      </c>
      <c r="E17" s="75">
        <f t="shared" si="20"/>
        <v>7263.0686901108602</v>
      </c>
      <c r="F17" s="75">
        <f t="shared" si="20"/>
        <v>6737.7274251989247</v>
      </c>
      <c r="G17" s="75">
        <f t="shared" si="20"/>
        <v>6464.8815768267841</v>
      </c>
      <c r="H17" s="75">
        <f t="shared" si="20"/>
        <v>6192.5685174331002</v>
      </c>
      <c r="I17" s="75">
        <f t="shared" si="20"/>
        <v>5920.8375113234179</v>
      </c>
      <c r="J17" s="75">
        <f t="shared" si="20"/>
        <v>5649.7449868469721</v>
      </c>
      <c r="K17" s="75">
        <f t="shared" si="20"/>
        <v>5577.5896148678294</v>
      </c>
      <c r="L17" s="75">
        <f t="shared" si="20"/>
        <v>5608.1849707204201</v>
      </c>
      <c r="M17" s="75">
        <f t="shared" si="20"/>
        <v>5707.0079822994076</v>
      </c>
      <c r="N17" s="75">
        <f t="shared" si="20"/>
        <v>5707.0079822994076</v>
      </c>
      <c r="O17" s="75" t="e">
        <f t="shared" si="20"/>
        <v>#DIV/0!</v>
      </c>
      <c r="P17" s="75" t="e">
        <f t="shared" si="20"/>
        <v>#DIV/0!</v>
      </c>
      <c r="Q17" s="75" t="e">
        <f t="shared" si="20"/>
        <v>#DIV/0!</v>
      </c>
      <c r="R17" s="75" t="e">
        <f t="shared" si="20"/>
        <v>#DIV/0!</v>
      </c>
    </row>
    <row r="18" spans="2:18" x14ac:dyDescent="0.25">
      <c r="B18" s="76" t="s">
        <v>50</v>
      </c>
      <c r="C18" s="78">
        <f t="shared" ref="C18:R18" si="21">+C3/C17</f>
        <v>0.17643850559040086</v>
      </c>
      <c r="D18" s="78">
        <f t="shared" si="21"/>
        <v>0.17643910880840805</v>
      </c>
      <c r="E18" s="78">
        <f t="shared" si="21"/>
        <v>0.17643931906424526</v>
      </c>
      <c r="F18" s="78">
        <f t="shared" si="21"/>
        <v>0.17535451042160816</v>
      </c>
      <c r="G18" s="78">
        <f t="shared" si="21"/>
        <v>0.17502113233687103</v>
      </c>
      <c r="H18" s="78">
        <f t="shared" si="21"/>
        <v>0.17464334725654226</v>
      </c>
      <c r="I18" s="78">
        <f t="shared" si="21"/>
        <v>0.17421368041722235</v>
      </c>
      <c r="J18" s="78">
        <f t="shared" si="21"/>
        <v>0.17372304347983564</v>
      </c>
      <c r="K18" s="78">
        <f t="shared" si="21"/>
        <v>0.17367000207722422</v>
      </c>
      <c r="L18" s="78">
        <f t="shared" si="21"/>
        <v>0.17367472811348467</v>
      </c>
      <c r="M18" s="78">
        <f t="shared" si="21"/>
        <v>0.17365404132494286</v>
      </c>
      <c r="N18" s="78">
        <f t="shared" si="21"/>
        <v>0</v>
      </c>
      <c r="O18" s="78" t="e">
        <f t="shared" si="21"/>
        <v>#DIV/0!</v>
      </c>
      <c r="P18" s="78" t="e">
        <f t="shared" si="21"/>
        <v>#DIV/0!</v>
      </c>
      <c r="Q18" s="78" t="e">
        <f t="shared" si="21"/>
        <v>#DIV/0!</v>
      </c>
      <c r="R18" s="78" t="e">
        <f t="shared" si="21"/>
        <v>#DIV/0!</v>
      </c>
    </row>
    <row r="19" spans="2:18" ht="13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x14ac:dyDescent="0.25">
      <c r="B20" s="34" t="s">
        <v>20</v>
      </c>
      <c r="C20" s="35">
        <f>+SUMIFS(D15:R15,D2:R2,"&lt;1")</f>
        <v>4471.9483069390672</v>
      </c>
      <c r="D20" s="15"/>
      <c r="E20" s="77"/>
      <c r="F20" s="77"/>
      <c r="G20" s="77"/>
      <c r="H20" s="77"/>
      <c r="I20" s="77"/>
      <c r="M20"/>
      <c r="N20"/>
      <c r="O20"/>
    </row>
    <row r="21" spans="2:18" ht="13" thickBot="1" x14ac:dyDescent="0.3">
      <c r="B21" s="36" t="s">
        <v>63</v>
      </c>
      <c r="C21" s="70">
        <f>+HLOOKUP('Variables Entrada'!B2,D1:R14,14,FALSE)*(1-'Variables Entrada'!B17/'Variables Entrada'!B24)*(1+'Variables Entrada'!B17)/('Variables Entrada'!B31-'Variables Entrada'!B17)/(1+'Variables Entrada'!B31)^('Variables Entrada'!B2-C1+1)</f>
        <v>4907.8065004598129</v>
      </c>
      <c r="D21" s="15"/>
    </row>
    <row r="22" spans="2:18" ht="13.5" thickTop="1" thickBot="1" x14ac:dyDescent="0.3">
      <c r="B22" s="36" t="s">
        <v>19</v>
      </c>
      <c r="C22" s="71">
        <f>+SUM(C20:C21)*(1-'Variables Entrada'!B22)+'Variables Entrada'!B22*SUM(C20:C21)*'Variables Entrada'!B23</f>
        <v>9379.7548073988801</v>
      </c>
      <c r="D22" s="15"/>
      <c r="E22" s="8"/>
      <c r="F22" s="9"/>
      <c r="G22" s="9"/>
      <c r="H22" s="9"/>
      <c r="I22" s="9"/>
      <c r="J22" s="9"/>
      <c r="K22" s="9"/>
      <c r="L22" s="9"/>
    </row>
    <row r="23" spans="2:18" ht="13" thickTop="1" x14ac:dyDescent="0.25">
      <c r="B23" s="39" t="str">
        <f>+"-Deuda neta=-Deuda+Caja"</f>
        <v>-Deuda neta=-Deuda+Caja</v>
      </c>
      <c r="C23" s="37">
        <f>-'Variables Entrada'!B11+'Variables Entrada'!B18</f>
        <v>-4295</v>
      </c>
      <c r="D23" s="80" t="s">
        <v>53</v>
      </c>
      <c r="E23" s="8"/>
      <c r="F23" s="8"/>
      <c r="G23" s="8"/>
      <c r="H23" s="8"/>
      <c r="I23" s="8"/>
      <c r="J23" s="8"/>
      <c r="K23" s="8"/>
      <c r="L23" s="8"/>
    </row>
    <row r="24" spans="2:18" ht="13" thickBot="1" x14ac:dyDescent="0.3">
      <c r="B24" s="39" t="str">
        <f>"-Intereses minoritarios"</f>
        <v>-Intereses minoritarios</v>
      </c>
      <c r="C24" s="72">
        <f>-'Variables Entrada'!B10</f>
        <v>-373</v>
      </c>
      <c r="D24" s="80" t="s">
        <v>54</v>
      </c>
      <c r="E24" s="8"/>
      <c r="F24" s="8"/>
      <c r="G24" s="8"/>
      <c r="H24" s="8"/>
      <c r="I24" s="8"/>
      <c r="J24" s="8"/>
      <c r="K24" s="8"/>
      <c r="L24" s="8"/>
    </row>
    <row r="25" spans="2:18" ht="13" thickTop="1" x14ac:dyDescent="0.25">
      <c r="B25" s="36" t="s">
        <v>14</v>
      </c>
      <c r="C25" s="73">
        <f>+C22+C23+C24</f>
        <v>4711.7548073988801</v>
      </c>
      <c r="D25" s="80" t="s">
        <v>55</v>
      </c>
      <c r="E25" s="8"/>
      <c r="F25" s="8"/>
      <c r="G25" s="8"/>
      <c r="H25" s="8"/>
      <c r="I25" s="8"/>
      <c r="J25" s="8"/>
      <c r="K25" s="8"/>
      <c r="L25" s="8"/>
    </row>
    <row r="26" spans="2:18" ht="13" thickBot="1" x14ac:dyDescent="0.3">
      <c r="B26" s="74" t="s">
        <v>15</v>
      </c>
      <c r="C26" s="104">
        <f>+C25/'Variables Entrada'!B12</f>
        <v>19.797289106717983</v>
      </c>
      <c r="D26" s="80" t="s">
        <v>34</v>
      </c>
    </row>
    <row r="27" spans="2:18" x14ac:dyDescent="0.25">
      <c r="B27" s="18"/>
      <c r="C27" s="18"/>
      <c r="D27" s="15"/>
    </row>
    <row r="28" spans="2:18" x14ac:dyDescent="0.25">
      <c r="B28" s="14"/>
      <c r="C28" s="14"/>
    </row>
    <row r="29" spans="2:18" x14ac:dyDescent="0.25">
      <c r="B29" s="14"/>
      <c r="C29" s="14"/>
    </row>
    <row r="30" spans="2:18" x14ac:dyDescent="0.25">
      <c r="B30" s="14"/>
      <c r="C30" s="14"/>
    </row>
    <row r="31" spans="2:18" x14ac:dyDescent="0.25">
      <c r="B31" s="19"/>
      <c r="C31" s="19"/>
    </row>
    <row r="32" spans="2:18" x14ac:dyDescent="0.25">
      <c r="B32" s="13"/>
      <c r="C32" s="13"/>
    </row>
    <row r="33" spans="2:12" x14ac:dyDescent="0.25">
      <c r="B33" s="14"/>
      <c r="C33" s="14"/>
    </row>
    <row r="34" spans="2:12" x14ac:dyDescent="0.25">
      <c r="B34" s="14"/>
      <c r="C34" s="14"/>
      <c r="D34"/>
      <c r="E34"/>
      <c r="F34"/>
      <c r="G34"/>
      <c r="H34"/>
      <c r="I34"/>
      <c r="J34"/>
      <c r="K34"/>
      <c r="L34"/>
    </row>
    <row r="35" spans="2:12" x14ac:dyDescent="0.25">
      <c r="B35" s="18"/>
      <c r="C35" s="18"/>
      <c r="D35"/>
      <c r="E35"/>
      <c r="F35"/>
      <c r="G35"/>
      <c r="H35"/>
      <c r="I35"/>
      <c r="J35"/>
      <c r="K35"/>
      <c r="L35"/>
    </row>
    <row r="36" spans="2:12" x14ac:dyDescent="0.25">
      <c r="B36" s="18"/>
      <c r="C36" s="18"/>
    </row>
    <row r="37" spans="2:12" x14ac:dyDescent="0.25">
      <c r="B37" s="19"/>
      <c r="C37" s="19"/>
    </row>
    <row r="38" spans="2:12" x14ac:dyDescent="0.25">
      <c r="B38" s="13"/>
      <c r="C38" s="13"/>
    </row>
    <row r="39" spans="2:12" x14ac:dyDescent="0.25">
      <c r="B39" s="14"/>
      <c r="C39" s="14"/>
    </row>
    <row r="40" spans="2:12" x14ac:dyDescent="0.25">
      <c r="B40" s="14"/>
      <c r="C40" s="14"/>
    </row>
    <row r="41" spans="2:12" x14ac:dyDescent="0.25">
      <c r="B41" s="14"/>
      <c r="C41" s="14"/>
    </row>
    <row r="42" spans="2:12" x14ac:dyDescent="0.25">
      <c r="B42" s="19"/>
      <c r="C42" s="19"/>
    </row>
    <row r="43" spans="2:12" x14ac:dyDescent="0.25">
      <c r="B43" s="13"/>
      <c r="C43" s="13"/>
    </row>
    <row r="44" spans="2:12" x14ac:dyDescent="0.25">
      <c r="B44" s="14"/>
      <c r="C44" s="14"/>
    </row>
    <row r="45" spans="2:12" x14ac:dyDescent="0.25">
      <c r="B45" s="20"/>
      <c r="C45" s="20"/>
    </row>
    <row r="46" spans="2:12" x14ac:dyDescent="0.25">
      <c r="B46" s="19"/>
      <c r="C46" s="19"/>
    </row>
    <row r="47" spans="2:12" x14ac:dyDescent="0.25">
      <c r="B47" s="20"/>
      <c r="C47" s="20"/>
    </row>
    <row r="48" spans="2:12" x14ac:dyDescent="0.25">
      <c r="B48" s="19"/>
      <c r="C48" s="19"/>
    </row>
    <row r="49" spans="2:15" x14ac:dyDescent="0.25">
      <c r="B49" s="13"/>
      <c r="C49" s="13"/>
    </row>
    <row r="50" spans="2:15" x14ac:dyDescent="0.25">
      <c r="B50" s="23"/>
      <c r="C50" s="23"/>
    </row>
    <row r="51" spans="2:15" x14ac:dyDescent="0.25">
      <c r="B51" s="21"/>
      <c r="C51" s="21"/>
    </row>
    <row r="52" spans="2:15" x14ac:dyDescent="0.25">
      <c r="B52" s="23"/>
      <c r="C52" s="23"/>
    </row>
    <row r="53" spans="2:15" x14ac:dyDescent="0.25">
      <c r="B53" s="30"/>
      <c r="C53" s="30"/>
      <c r="D53" s="6">
        <f t="shared" ref="D53:L53" si="22">+$M$56*D7</f>
        <v>0</v>
      </c>
      <c r="E53" s="6">
        <f t="shared" si="22"/>
        <v>0</v>
      </c>
      <c r="F53" s="6">
        <f t="shared" si="22"/>
        <v>0</v>
      </c>
      <c r="G53" s="6">
        <f t="shared" si="22"/>
        <v>0</v>
      </c>
      <c r="H53" s="6">
        <f t="shared" si="22"/>
        <v>0</v>
      </c>
      <c r="I53" s="6">
        <f t="shared" si="22"/>
        <v>0</v>
      </c>
      <c r="J53" s="6">
        <f t="shared" si="22"/>
        <v>0</v>
      </c>
      <c r="K53" s="6">
        <f t="shared" si="22"/>
        <v>0</v>
      </c>
      <c r="L53" s="6">
        <f t="shared" si="22"/>
        <v>0</v>
      </c>
      <c r="M53" s="6"/>
      <c r="N53" s="6"/>
      <c r="O53" s="6"/>
    </row>
    <row r="54" spans="2:15" x14ac:dyDescent="0.25">
      <c r="B54" s="31"/>
      <c r="C54" s="31"/>
      <c r="D54" s="1">
        <v>5583.7400999999991</v>
      </c>
      <c r="E54" s="1">
        <v>5555.2630254900005</v>
      </c>
      <c r="F54" s="1">
        <v>5121.7630254900005</v>
      </c>
      <c r="G54" s="1">
        <v>4616.4828475200002</v>
      </c>
      <c r="H54" s="1">
        <v>4228.6293955399997</v>
      </c>
      <c r="I54" s="1">
        <v>3945.4526695499999</v>
      </c>
      <c r="J54" s="1">
        <v>3670.7759435599996</v>
      </c>
      <c r="K54" s="1">
        <v>3622.7883999999995</v>
      </c>
      <c r="L54" s="1">
        <v>3659.0162839999998</v>
      </c>
    </row>
    <row r="55" spans="2:15" x14ac:dyDescent="0.25">
      <c r="B55" s="31"/>
      <c r="C55" s="31"/>
    </row>
    <row r="56" spans="2:15" x14ac:dyDescent="0.25">
      <c r="B56" s="30"/>
      <c r="C56" s="30"/>
    </row>
    <row r="59" spans="2:15" x14ac:dyDescent="0.25">
      <c r="B59" s="21"/>
      <c r="C59" s="21"/>
    </row>
    <row r="60" spans="2:15" x14ac:dyDescent="0.25">
      <c r="B60" s="22"/>
      <c r="C60" s="22"/>
    </row>
    <row r="61" spans="2:15" x14ac:dyDescent="0.25">
      <c r="B61" s="23"/>
      <c r="C61" s="23"/>
    </row>
    <row r="62" spans="2:15" x14ac:dyDescent="0.25">
      <c r="B62" s="14"/>
      <c r="C62" s="14"/>
    </row>
    <row r="63" spans="2:15" x14ac:dyDescent="0.25">
      <c r="B63" s="14"/>
      <c r="C63" s="14"/>
    </row>
    <row r="64" spans="2:15" x14ac:dyDescent="0.25">
      <c r="B64" s="14"/>
      <c r="C64" s="14"/>
    </row>
    <row r="65" spans="2:15" x14ac:dyDescent="0.25">
      <c r="B65" s="14"/>
      <c r="C65" s="14"/>
    </row>
    <row r="66" spans="2:15" x14ac:dyDescent="0.25">
      <c r="B66" s="14"/>
      <c r="C66" s="14"/>
      <c r="D66"/>
      <c r="E66"/>
      <c r="F66"/>
      <c r="G66"/>
      <c r="H66"/>
      <c r="I66"/>
      <c r="J66"/>
      <c r="K66"/>
      <c r="L66"/>
      <c r="M66"/>
      <c r="N66"/>
      <c r="O66"/>
    </row>
    <row r="67" spans="2:15" x14ac:dyDescent="0.25">
      <c r="B67" s="14"/>
      <c r="C67" s="14"/>
      <c r="D67"/>
      <c r="E67"/>
      <c r="F67"/>
      <c r="G67"/>
      <c r="H67"/>
      <c r="I67"/>
      <c r="J67"/>
      <c r="K67"/>
      <c r="L67"/>
      <c r="M67"/>
      <c r="N67"/>
      <c r="O67"/>
    </row>
    <row r="68" spans="2:15" x14ac:dyDescent="0.25">
      <c r="B68" s="19"/>
      <c r="C68" s="19"/>
    </row>
    <row r="69" spans="2:15" x14ac:dyDescent="0.25">
      <c r="B69" s="13"/>
      <c r="C69" s="13"/>
    </row>
    <row r="70" spans="2:15" x14ac:dyDescent="0.25">
      <c r="B70" s="13"/>
      <c r="C70" s="13"/>
    </row>
    <row r="71" spans="2:15" x14ac:dyDescent="0.25">
      <c r="B71" s="11"/>
      <c r="C71" s="11"/>
    </row>
    <row r="72" spans="2:15" x14ac:dyDescent="0.25">
      <c r="B72" s="11"/>
      <c r="C72" s="11"/>
    </row>
    <row r="73" spans="2:15" x14ac:dyDescent="0.25">
      <c r="B73" s="11"/>
      <c r="C73" s="11"/>
    </row>
    <row r="74" spans="2:15" x14ac:dyDescent="0.25">
      <c r="B74" s="11"/>
      <c r="C74" s="11"/>
    </row>
    <row r="75" spans="2:15" x14ac:dyDescent="0.25">
      <c r="B75" s="11"/>
      <c r="C75" s="11"/>
    </row>
    <row r="76" spans="2:15" x14ac:dyDescent="0.25">
      <c r="B76" s="11"/>
      <c r="C76" s="11"/>
    </row>
    <row r="77" spans="2:15" x14ac:dyDescent="0.25">
      <c r="B77" s="11"/>
      <c r="C77" s="11"/>
    </row>
    <row r="78" spans="2:15" x14ac:dyDescent="0.25">
      <c r="B78" s="11"/>
      <c r="C78" s="11"/>
    </row>
    <row r="79" spans="2:15" x14ac:dyDescent="0.25">
      <c r="B79" s="11"/>
      <c r="C79" s="11"/>
    </row>
    <row r="80" spans="2:15" x14ac:dyDescent="0.25">
      <c r="B80" s="11"/>
      <c r="C80" s="11"/>
    </row>
    <row r="81" spans="2:3" x14ac:dyDescent="0.25">
      <c r="B81" s="24"/>
      <c r="C81" s="24"/>
    </row>
    <row r="82" spans="2:3" x14ac:dyDescent="0.25">
      <c r="B82" s="17"/>
      <c r="C82" s="17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24"/>
      <c r="C85" s="24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24"/>
      <c r="C88" s="24"/>
    </row>
    <row r="89" spans="2:3" x14ac:dyDescent="0.25">
      <c r="B89" s="25"/>
      <c r="C89" s="25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24"/>
      <c r="C92" s="24"/>
    </row>
    <row r="93" spans="2:3" x14ac:dyDescent="0.25">
      <c r="B93" s="17"/>
      <c r="C93" s="17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24"/>
      <c r="C96" s="24"/>
    </row>
    <row r="97" spans="2:12" x14ac:dyDescent="0.25">
      <c r="B97" s="17"/>
      <c r="C97" s="17"/>
    </row>
    <row r="98" spans="2:12" x14ac:dyDescent="0.25">
      <c r="B98" s="11"/>
      <c r="C98" s="11"/>
    </row>
    <row r="99" spans="2:12" x14ac:dyDescent="0.25">
      <c r="B99" s="11"/>
      <c r="C99" s="11"/>
    </row>
    <row r="100" spans="2:12" x14ac:dyDescent="0.25">
      <c r="B100" s="26"/>
      <c r="C100" s="26"/>
    </row>
    <row r="101" spans="2:12" x14ac:dyDescent="0.25">
      <c r="B101" s="17"/>
      <c r="C101" s="17"/>
    </row>
    <row r="102" spans="2:12" x14ac:dyDescent="0.25">
      <c r="B102" s="27"/>
      <c r="C102" s="27"/>
    </row>
    <row r="103" spans="2:12" x14ac:dyDescent="0.25">
      <c r="B103" s="11"/>
      <c r="C103" s="11"/>
    </row>
    <row r="104" spans="2:12" x14ac:dyDescent="0.25">
      <c r="B104" s="11"/>
      <c r="C104" s="11"/>
    </row>
    <row r="105" spans="2:12" x14ac:dyDescent="0.25">
      <c r="B105" s="11"/>
      <c r="C105" s="11"/>
    </row>
    <row r="106" spans="2:12" x14ac:dyDescent="0.25">
      <c r="B106" s="11"/>
      <c r="C106" s="11"/>
    </row>
    <row r="107" spans="2:12" x14ac:dyDescent="0.25">
      <c r="B107" s="11"/>
      <c r="C107" s="11"/>
    </row>
    <row r="108" spans="2:12" x14ac:dyDescent="0.25">
      <c r="B108" s="11"/>
      <c r="C108" s="11"/>
    </row>
    <row r="109" spans="2:12" x14ac:dyDescent="0.25">
      <c r="B109" s="28"/>
      <c r="C109" s="28"/>
    </row>
    <row r="110" spans="2:12" x14ac:dyDescent="0.25">
      <c r="B110" s="29"/>
      <c r="C110" s="29"/>
    </row>
    <row r="111" spans="2:12" x14ac:dyDescent="0.25">
      <c r="B111" s="29"/>
      <c r="C111" s="29"/>
    </row>
    <row r="112" spans="2:12" x14ac:dyDescent="0.25">
      <c r="E112" s="6"/>
      <c r="F112" s="6"/>
      <c r="G112" s="6"/>
      <c r="H112" s="6"/>
      <c r="I112" s="6"/>
      <c r="J112" s="6"/>
      <c r="K112" s="6"/>
      <c r="L112" s="6"/>
    </row>
  </sheetData>
  <conditionalFormatting sqref="B49:C49">
    <cfRule type="colorScale" priority="1">
      <colorScale>
        <cfvo type="num" val="0"/>
        <cfvo type="num" val="1"/>
        <color rgb="FF00B050"/>
        <color rgb="FFFF0000"/>
      </colorScale>
    </cfRule>
  </conditionalFormatting>
  <pageMargins left="0.7" right="0.7" top="0.75" bottom="0.75" header="0.3" footer="0.3"/>
  <pageSetup paperSize="9" orientation="portrait" horizontalDpi="4294967293" verticalDpi="4294967293" r:id="rId1"/>
  <ignoredErrors>
    <ignoredError sqref="O14:R18 O4:R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Variables Entrada</vt:lpstr>
      <vt:lpstr>Modelo FCFF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</cp:lastModifiedBy>
  <dcterms:created xsi:type="dcterms:W3CDTF">2019-08-05T08:46:29Z</dcterms:created>
  <dcterms:modified xsi:type="dcterms:W3CDTF">2020-07-24T23:34:46Z</dcterms:modified>
</cp:coreProperties>
</file>